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25" windowWidth="20730" windowHeight="11145" activeTab="1"/>
  </bookViews>
  <sheets>
    <sheet name="BDI e Encargos" sheetId="1" r:id="rId1"/>
    <sheet name="Orçamento" sheetId="2" r:id="rId2"/>
    <sheet name="LEVANTAMENTO" sheetId="3" r:id="rId3"/>
    <sheet name="Fonte Cotação" sheetId="4" r:id="rId4"/>
    <sheet name="Composições elétrica" sheetId="6" r:id="rId5"/>
    <sheet name="Composições civil" sheetId="8" r:id="rId6"/>
    <sheet name="Cronograma físico financeiro" sheetId="5" r:id="rId7"/>
    <sheet name="Plan1" sheetId="7" r:id="rId8"/>
  </sheets>
  <externalReferences>
    <externalReference r:id="rId9"/>
  </externalReferences>
  <definedNames>
    <definedName name="__A956325" localSheetId="5">'[1]Conf. Nota Fiscal'!#REF!</definedName>
    <definedName name="__A956325">'[1]Conf. Nota Fiscal'!#REF!</definedName>
    <definedName name="_xlnm._FilterDatabase" localSheetId="5" hidden="1">'Composições civil'!$A$9:$J$284</definedName>
    <definedName name="_xlnm._FilterDatabase" localSheetId="3" hidden="1">'Fonte Cotação'!$B$3:$L$82</definedName>
    <definedName name="_xlnm._FilterDatabase" localSheetId="2" hidden="1">LEVANTAMENTO!$A$3:$O$109</definedName>
    <definedName name="_xlnm._FilterDatabase" localSheetId="1" hidden="1">Orçamento!$A$8:$N$246</definedName>
    <definedName name="_xlnm.Print_Area" localSheetId="6">'Cronograma físico financeiro'!$A$1:$G$50</definedName>
    <definedName name="_xlnm.Print_Area" localSheetId="1">Orçamento!$A$1:$N$247</definedName>
    <definedName name="Status" localSheetId="5">#REF!</definedName>
    <definedName name="Status">#REF!</definedName>
  </definedNames>
  <calcPr calcId="145621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G39" i="4" l="1"/>
  <c r="D40" i="4"/>
  <c r="G40" i="4" s="1"/>
  <c r="D41" i="4"/>
  <c r="G41" i="4" s="1"/>
  <c r="G42" i="4"/>
  <c r="D43" i="4"/>
  <c r="G43" i="4"/>
  <c r="G44" i="4"/>
  <c r="G45" i="4"/>
  <c r="G46" i="4"/>
  <c r="D47" i="4"/>
  <c r="G47" i="4" s="1"/>
  <c r="D48" i="4"/>
  <c r="G48" i="4" s="1"/>
  <c r="D49" i="4"/>
  <c r="G49" i="4" s="1"/>
  <c r="D50" i="4"/>
  <c r="G50" i="4"/>
  <c r="G51" i="4"/>
  <c r="F218" i="8"/>
  <c r="F210" i="8"/>
  <c r="F202" i="8"/>
  <c r="F208" i="8"/>
  <c r="F212" i="8" s="1"/>
  <c r="I207" i="8" s="1"/>
  <c r="F220" i="8"/>
  <c r="F219" i="8"/>
  <c r="I215" i="8" s="1"/>
  <c r="F211" i="8"/>
  <c r="F204" i="8"/>
  <c r="F203" i="8"/>
  <c r="F200" i="8"/>
  <c r="I199" i="8"/>
  <c r="L199" i="8"/>
  <c r="I190" i="8"/>
  <c r="A190" i="8"/>
  <c r="A185" i="8"/>
  <c r="J114" i="8"/>
  <c r="J110" i="8"/>
  <c r="J106" i="8"/>
  <c r="J102" i="8"/>
  <c r="J96" i="8"/>
  <c r="J83" i="8"/>
  <c r="J70" i="8"/>
  <c r="J61" i="8"/>
  <c r="A174" i="8"/>
  <c r="A163" i="8"/>
  <c r="A152" i="8"/>
  <c r="A149" i="8"/>
  <c r="A140" i="8"/>
  <c r="A129" i="8"/>
  <c r="A118" i="8"/>
  <c r="A114" i="8"/>
  <c r="A110" i="8"/>
  <c r="A106" i="8"/>
  <c r="A102" i="8"/>
  <c r="A96" i="8"/>
  <c r="A83" i="8"/>
  <c r="A70" i="8"/>
  <c r="A61" i="8"/>
  <c r="A53" i="8"/>
  <c r="A45" i="8"/>
  <c r="A39" i="8"/>
  <c r="A33" i="8"/>
  <c r="A28" i="8"/>
  <c r="A23" i="8"/>
  <c r="A18" i="8"/>
  <c r="J39" i="8"/>
  <c r="J33" i="8"/>
  <c r="J28" i="8"/>
  <c r="J23" i="8"/>
  <c r="J129" i="8"/>
  <c r="J140" i="8"/>
  <c r="J149" i="8"/>
  <c r="J152" i="8"/>
  <c r="J163" i="8"/>
  <c r="J174" i="8"/>
  <c r="J207" i="8" l="1"/>
  <c r="J215" i="8"/>
  <c r="J199" i="8"/>
  <c r="J5" i="8"/>
  <c r="J4" i="8"/>
  <c r="J3" i="8"/>
  <c r="J2" i="8"/>
  <c r="J1" i="8"/>
  <c r="F21" i="7" l="1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165" i="2" l="1"/>
  <c r="F168" i="2"/>
  <c r="F178" i="2"/>
  <c r="F177" i="2"/>
  <c r="F176" i="2"/>
  <c r="F175" i="2"/>
  <c r="G247" i="6" l="1"/>
  <c r="G238" i="6"/>
  <c r="G161" i="6"/>
  <c r="G154" i="6"/>
  <c r="G81" i="6"/>
  <c r="G274" i="6" l="1"/>
  <c r="G292" i="6" l="1"/>
  <c r="G286" i="6"/>
  <c r="G280" i="6"/>
  <c r="C298" i="6"/>
  <c r="G268" i="6"/>
  <c r="G260" i="6"/>
  <c r="G259" i="6"/>
  <c r="C114" i="6"/>
  <c r="C107" i="6"/>
  <c r="G100" i="6"/>
  <c r="G107" i="6" s="1"/>
  <c r="H253" i="6"/>
  <c r="H44" i="6"/>
  <c r="H43" i="6"/>
  <c r="H42" i="6"/>
  <c r="H41" i="6"/>
  <c r="H40" i="6"/>
  <c r="H39" i="6"/>
  <c r="H32" i="6"/>
  <c r="H31" i="6"/>
  <c r="H30" i="6"/>
  <c r="H29" i="6"/>
  <c r="H28" i="6"/>
  <c r="H27" i="6"/>
  <c r="F237" i="2"/>
  <c r="P227" i="2"/>
  <c r="F229" i="2"/>
  <c r="F174" i="2"/>
  <c r="F173" i="2"/>
  <c r="F172" i="2"/>
  <c r="F171" i="2"/>
  <c r="F170" i="2"/>
  <c r="F169" i="2"/>
  <c r="F167" i="2"/>
  <c r="F166" i="2"/>
  <c r="F162" i="2"/>
  <c r="F161" i="2"/>
  <c r="F160" i="2"/>
  <c r="F159" i="2"/>
  <c r="G298" i="6" l="1"/>
  <c r="I298" i="6" s="1"/>
  <c r="G114" i="6"/>
  <c r="I170" i="6"/>
  <c r="D170" i="6"/>
  <c r="I169" i="6"/>
  <c r="D169" i="6"/>
  <c r="J168" i="6"/>
  <c r="I168" i="6"/>
  <c r="I167" i="6" s="1"/>
  <c r="G119" i="2" s="1"/>
  <c r="J298" i="6"/>
  <c r="J286" i="6"/>
  <c r="I286" i="6"/>
  <c r="I280" i="6"/>
  <c r="J280" i="6"/>
  <c r="J238" i="6"/>
  <c r="I238" i="6"/>
  <c r="F126" i="2"/>
  <c r="J247" i="6"/>
  <c r="I247" i="6"/>
  <c r="H252" i="6"/>
  <c r="H251" i="6"/>
  <c r="I200" i="6"/>
  <c r="J200" i="6"/>
  <c r="J193" i="6"/>
  <c r="I193" i="6"/>
  <c r="J138" i="6"/>
  <c r="I138" i="6"/>
  <c r="J126" i="6"/>
  <c r="I126" i="6"/>
  <c r="J132" i="6"/>
  <c r="I132" i="6"/>
  <c r="J93" i="6"/>
  <c r="J88" i="6"/>
  <c r="I89" i="6"/>
  <c r="D89" i="6"/>
  <c r="J292" i="6"/>
  <c r="I292" i="6"/>
  <c r="J274" i="6"/>
  <c r="I274" i="6"/>
  <c r="J268" i="6"/>
  <c r="I268" i="6"/>
  <c r="G263" i="6"/>
  <c r="H201" i="6"/>
  <c r="J207" i="6"/>
  <c r="I207" i="6"/>
  <c r="I93" i="6" l="1"/>
  <c r="I88" i="6"/>
  <c r="I87" i="6" s="1"/>
  <c r="G163" i="2" s="1"/>
  <c r="G109" i="2" l="1"/>
  <c r="G196" i="2"/>
  <c r="G234" i="2"/>
  <c r="J174" i="6"/>
  <c r="I174" i="6"/>
  <c r="I162" i="6"/>
  <c r="J162" i="6" s="1"/>
  <c r="I164" i="6"/>
  <c r="D164" i="6"/>
  <c r="I163" i="6"/>
  <c r="D163" i="6"/>
  <c r="I157" i="6"/>
  <c r="D157" i="6"/>
  <c r="I156" i="6"/>
  <c r="D156" i="6"/>
  <c r="J155" i="6"/>
  <c r="J120" i="6"/>
  <c r="H82" i="6"/>
  <c r="H75" i="6"/>
  <c r="H68" i="6"/>
  <c r="I120" i="6" l="1"/>
  <c r="J81" i="6" l="1"/>
  <c r="I81" i="6"/>
  <c r="J5" i="6" l="1"/>
  <c r="J4" i="6"/>
  <c r="J2" i="6"/>
  <c r="J1" i="6"/>
  <c r="I300" i="6"/>
  <c r="D300" i="6"/>
  <c r="I299" i="6"/>
  <c r="I297" i="6" s="1"/>
  <c r="G178" i="2" s="1"/>
  <c r="D299" i="6"/>
  <c r="I294" i="6"/>
  <c r="D294" i="6"/>
  <c r="I293" i="6"/>
  <c r="I291" i="6" s="1"/>
  <c r="G245" i="2" s="1"/>
  <c r="D293" i="6"/>
  <c r="I288" i="6"/>
  <c r="D288" i="6"/>
  <c r="I287" i="6"/>
  <c r="I285" i="6" s="1"/>
  <c r="G244" i="2" s="1"/>
  <c r="D287" i="6"/>
  <c r="I282" i="6"/>
  <c r="D282" i="6"/>
  <c r="I281" i="6"/>
  <c r="D281" i="6"/>
  <c r="I276" i="6"/>
  <c r="D276" i="6"/>
  <c r="I275" i="6"/>
  <c r="I273" i="6" s="1"/>
  <c r="D275" i="6"/>
  <c r="I270" i="6"/>
  <c r="D270" i="6"/>
  <c r="I269" i="6"/>
  <c r="I267" i="6" s="1"/>
  <c r="G242" i="2" s="1"/>
  <c r="D269" i="6"/>
  <c r="J263" i="6"/>
  <c r="I263" i="6"/>
  <c r="I262" i="6"/>
  <c r="D262" i="6"/>
  <c r="I261" i="6"/>
  <c r="D261" i="6"/>
  <c r="J260" i="6"/>
  <c r="I260" i="6"/>
  <c r="J259" i="6"/>
  <c r="I259" i="6"/>
  <c r="F253" i="6"/>
  <c r="I255" i="6"/>
  <c r="D255" i="6"/>
  <c r="I254" i="6"/>
  <c r="D254" i="6"/>
  <c r="F252" i="6"/>
  <c r="I252" i="6" s="1"/>
  <c r="F251" i="6"/>
  <c r="F250" i="6"/>
  <c r="F249" i="6"/>
  <c r="I249" i="6" s="1"/>
  <c r="F248" i="6"/>
  <c r="I248" i="6" s="1"/>
  <c r="I243" i="6"/>
  <c r="D243" i="6"/>
  <c r="I242" i="6"/>
  <c r="D242" i="6"/>
  <c r="I234" i="6"/>
  <c r="D234" i="6"/>
  <c r="I233" i="6"/>
  <c r="D233" i="6"/>
  <c r="J232" i="6"/>
  <c r="I232" i="6"/>
  <c r="I228" i="6"/>
  <c r="D228" i="6"/>
  <c r="I227" i="6"/>
  <c r="D227" i="6"/>
  <c r="J226" i="6"/>
  <c r="I226" i="6"/>
  <c r="I222" i="6"/>
  <c r="D222" i="6"/>
  <c r="I221" i="6"/>
  <c r="D221" i="6"/>
  <c r="I220" i="6"/>
  <c r="J220" i="6"/>
  <c r="I219" i="6"/>
  <c r="I218" i="6"/>
  <c r="F214" i="6"/>
  <c r="I214" i="6" s="1"/>
  <c r="D214" i="6"/>
  <c r="F213" i="6"/>
  <c r="I213" i="6" s="1"/>
  <c r="D213" i="6"/>
  <c r="F212" i="6"/>
  <c r="F211" i="6"/>
  <c r="J211" i="6" s="1"/>
  <c r="F210" i="6"/>
  <c r="I210" i="6" s="1"/>
  <c r="F209" i="6"/>
  <c r="J209" i="6" s="1"/>
  <c r="F208" i="6"/>
  <c r="I208" i="6" s="1"/>
  <c r="I203" i="6"/>
  <c r="D203" i="6"/>
  <c r="I202" i="6"/>
  <c r="D202" i="6"/>
  <c r="I201" i="6"/>
  <c r="I199" i="6" s="1"/>
  <c r="G123" i="2" s="1"/>
  <c r="J201" i="6"/>
  <c r="I196" i="6"/>
  <c r="D196" i="6"/>
  <c r="I195" i="6"/>
  <c r="D195" i="6"/>
  <c r="I194" i="6"/>
  <c r="J194" i="6"/>
  <c r="F189" i="6"/>
  <c r="I189" i="6" s="1"/>
  <c r="D189" i="6"/>
  <c r="F188" i="6"/>
  <c r="I188" i="6" s="1"/>
  <c r="D188" i="6"/>
  <c r="J187" i="6"/>
  <c r="I187" i="6"/>
  <c r="J186" i="6"/>
  <c r="F182" i="6"/>
  <c r="I182" i="6" s="1"/>
  <c r="D182" i="6"/>
  <c r="F181" i="6"/>
  <c r="I181" i="6" s="1"/>
  <c r="D181" i="6"/>
  <c r="I176" i="6"/>
  <c r="D176" i="6"/>
  <c r="I175" i="6"/>
  <c r="D175" i="6"/>
  <c r="J161" i="6"/>
  <c r="I161" i="6"/>
  <c r="I160" i="6" s="1"/>
  <c r="J154" i="6"/>
  <c r="I154" i="6"/>
  <c r="I153" i="6" s="1"/>
  <c r="I150" i="6"/>
  <c r="D150" i="6"/>
  <c r="I149" i="6"/>
  <c r="I145" i="6"/>
  <c r="D145" i="6"/>
  <c r="I144" i="6"/>
  <c r="I140" i="6"/>
  <c r="D140" i="6"/>
  <c r="I139" i="6"/>
  <c r="D139" i="6"/>
  <c r="F134" i="6"/>
  <c r="I134" i="6" s="1"/>
  <c r="D134" i="6"/>
  <c r="F133" i="6"/>
  <c r="I133" i="6" s="1"/>
  <c r="D133" i="6"/>
  <c r="F128" i="6"/>
  <c r="I128" i="6" s="1"/>
  <c r="D128" i="6"/>
  <c r="F127" i="6"/>
  <c r="I127" i="6" s="1"/>
  <c r="D127" i="6"/>
  <c r="F122" i="6"/>
  <c r="I122" i="6" s="1"/>
  <c r="D122" i="6"/>
  <c r="F121" i="6"/>
  <c r="I121" i="6" s="1"/>
  <c r="D121" i="6"/>
  <c r="D116" i="6"/>
  <c r="D115" i="6"/>
  <c r="I114" i="6"/>
  <c r="D109" i="6"/>
  <c r="D108" i="6"/>
  <c r="I107" i="6"/>
  <c r="I102" i="6"/>
  <c r="D102" i="6"/>
  <c r="D101" i="6"/>
  <c r="I100" i="6"/>
  <c r="I99" i="6"/>
  <c r="I95" i="6"/>
  <c r="D95" i="6"/>
  <c r="F94" i="6"/>
  <c r="I94" i="6" s="1"/>
  <c r="D94" i="6"/>
  <c r="I84" i="6"/>
  <c r="D84" i="6"/>
  <c r="I83" i="6"/>
  <c r="D83" i="6"/>
  <c r="F82" i="6"/>
  <c r="I82" i="6" s="1"/>
  <c r="I77" i="6"/>
  <c r="D77" i="6"/>
  <c r="I76" i="6"/>
  <c r="D76" i="6"/>
  <c r="I75" i="6"/>
  <c r="J75" i="6"/>
  <c r="J74" i="6"/>
  <c r="I74" i="6"/>
  <c r="I70" i="6"/>
  <c r="D70" i="6"/>
  <c r="I69" i="6"/>
  <c r="D69" i="6"/>
  <c r="I68" i="6"/>
  <c r="J68" i="6"/>
  <c r="J67" i="6"/>
  <c r="I67" i="6"/>
  <c r="I63" i="6"/>
  <c r="D63" i="6"/>
  <c r="I62" i="6"/>
  <c r="D62" i="6"/>
  <c r="I61" i="6"/>
  <c r="J61" i="6"/>
  <c r="J60" i="6"/>
  <c r="I60" i="6"/>
  <c r="I56" i="6"/>
  <c r="D56" i="6"/>
  <c r="I55" i="6"/>
  <c r="D55" i="6"/>
  <c r="I51" i="6"/>
  <c r="D51" i="6"/>
  <c r="I50" i="6"/>
  <c r="D50" i="6"/>
  <c r="H46" i="6"/>
  <c r="J45" i="6"/>
  <c r="J44" i="6"/>
  <c r="J43" i="6"/>
  <c r="J42" i="6"/>
  <c r="J41" i="6"/>
  <c r="J40" i="6"/>
  <c r="J39" i="6"/>
  <c r="J38" i="6"/>
  <c r="H34" i="6"/>
  <c r="J33" i="6"/>
  <c r="J32" i="6"/>
  <c r="J31" i="6"/>
  <c r="J30" i="6"/>
  <c r="J29" i="6"/>
  <c r="J28" i="6"/>
  <c r="J27" i="6"/>
  <c r="J26" i="6"/>
  <c r="H22" i="6"/>
  <c r="J21" i="6"/>
  <c r="J20" i="6"/>
  <c r="J19" i="6"/>
  <c r="J18" i="6"/>
  <c r="J17" i="6"/>
  <c r="J16" i="6"/>
  <c r="J15" i="6"/>
  <c r="J14" i="6"/>
  <c r="I258" i="6" l="1"/>
  <c r="I279" i="6"/>
  <c r="G243" i="2" s="1"/>
  <c r="I231" i="6"/>
  <c r="G125" i="2" s="1"/>
  <c r="F116" i="6"/>
  <c r="I116" i="6" s="1"/>
  <c r="G132" i="2"/>
  <c r="G133" i="2"/>
  <c r="G60" i="2"/>
  <c r="G205" i="2"/>
  <c r="G175" i="2"/>
  <c r="G129" i="2"/>
  <c r="G61" i="2"/>
  <c r="G206" i="2"/>
  <c r="G130" i="2"/>
  <c r="I92" i="6"/>
  <c r="G164" i="2" s="1"/>
  <c r="I125" i="6"/>
  <c r="I131" i="6"/>
  <c r="G115" i="2" s="1"/>
  <c r="I137" i="6"/>
  <c r="G116" i="2" s="1"/>
  <c r="G202" i="2"/>
  <c r="G169" i="2"/>
  <c r="G239" i="2"/>
  <c r="G118" i="2"/>
  <c r="G110" i="2"/>
  <c r="I119" i="6"/>
  <c r="G52" i="2" s="1"/>
  <c r="I192" i="6"/>
  <c r="G122" i="2" s="1"/>
  <c r="I106" i="6"/>
  <c r="G186" i="6"/>
  <c r="I186" i="6" s="1"/>
  <c r="I185" i="6" s="1"/>
  <c r="G180" i="6"/>
  <c r="I180" i="6" s="1"/>
  <c r="I179" i="6" s="1"/>
  <c r="G121" i="2" s="1"/>
  <c r="I173" i="6"/>
  <c r="I80" i="6"/>
  <c r="G195" i="2" s="1"/>
  <c r="J46" i="6"/>
  <c r="J37" i="6" s="1"/>
  <c r="H170" i="6" s="1"/>
  <c r="J170" i="6" s="1"/>
  <c r="I49" i="6"/>
  <c r="I54" i="6"/>
  <c r="I148" i="6"/>
  <c r="F108" i="6"/>
  <c r="I108" i="6" s="1"/>
  <c r="F115" i="6"/>
  <c r="I115" i="6" s="1"/>
  <c r="I143" i="6"/>
  <c r="G53" i="2" s="1"/>
  <c r="I209" i="6"/>
  <c r="J248" i="6"/>
  <c r="J34" i="6"/>
  <c r="J25" i="6" s="1"/>
  <c r="H213" i="6" s="1"/>
  <c r="I73" i="6"/>
  <c r="G108" i="2" s="1"/>
  <c r="J82" i="6"/>
  <c r="J249" i="6"/>
  <c r="J212" i="6"/>
  <c r="I212" i="6"/>
  <c r="I251" i="6"/>
  <c r="J251" i="6"/>
  <c r="J22" i="6"/>
  <c r="J13" i="6" s="1"/>
  <c r="I59" i="6"/>
  <c r="I66" i="6"/>
  <c r="I250" i="6"/>
  <c r="I246" i="6" s="1"/>
  <c r="J250" i="6"/>
  <c r="F109" i="6"/>
  <c r="I109" i="6" s="1"/>
  <c r="I217" i="6"/>
  <c r="I225" i="6"/>
  <c r="I101" i="6"/>
  <c r="I98" i="6" s="1"/>
  <c r="J210" i="6"/>
  <c r="J239" i="6"/>
  <c r="I239" i="6"/>
  <c r="I237" i="6" s="1"/>
  <c r="J241" i="6"/>
  <c r="I241" i="6"/>
  <c r="J252" i="6"/>
  <c r="J240" i="6"/>
  <c r="I240" i="6"/>
  <c r="J208" i="6"/>
  <c r="J253" i="6"/>
  <c r="I253" i="6"/>
  <c r="G131" i="2" l="1"/>
  <c r="G197" i="2"/>
  <c r="G207" i="2"/>
  <c r="G176" i="2"/>
  <c r="G208" i="2"/>
  <c r="G126" i="2"/>
  <c r="G159" i="2"/>
  <c r="G229" i="2"/>
  <c r="G127" i="2"/>
  <c r="G62" i="2"/>
  <c r="G177" i="2"/>
  <c r="I206" i="6"/>
  <c r="G56" i="2" s="1"/>
  <c r="G231" i="2"/>
  <c r="G193" i="2"/>
  <c r="G160" i="2"/>
  <c r="G173" i="2"/>
  <c r="G58" i="2"/>
  <c r="G171" i="2"/>
  <c r="G59" i="2"/>
  <c r="G241" i="2"/>
  <c r="G174" i="2"/>
  <c r="G204" i="2"/>
  <c r="G128" i="2"/>
  <c r="G113" i="6"/>
  <c r="I113" i="6" s="1"/>
  <c r="I112" i="6" s="1"/>
  <c r="G170" i="2"/>
  <c r="G240" i="2"/>
  <c r="G203" i="2"/>
  <c r="G117" i="2"/>
  <c r="G238" i="2"/>
  <c r="G201" i="2"/>
  <c r="G168" i="2"/>
  <c r="G198" i="2"/>
  <c r="G235" i="2"/>
  <c r="G165" i="2"/>
  <c r="G107" i="2"/>
  <c r="G194" i="2"/>
  <c r="G233" i="2"/>
  <c r="G162" i="2"/>
  <c r="G232" i="2"/>
  <c r="G161" i="2"/>
  <c r="H89" i="6"/>
  <c r="J89" i="6" s="1"/>
  <c r="J87" i="6" s="1"/>
  <c r="H163" i="2" s="1"/>
  <c r="H169" i="6"/>
  <c r="J169" i="6" s="1"/>
  <c r="J167" i="6" s="1"/>
  <c r="H119" i="2" s="1"/>
  <c r="G57" i="2"/>
  <c r="G124" i="2"/>
  <c r="G55" i="2"/>
  <c r="G120" i="2"/>
  <c r="G50" i="2"/>
  <c r="G111" i="2"/>
  <c r="G105" i="2"/>
  <c r="G47" i="2"/>
  <c r="G48" i="2"/>
  <c r="G106" i="2"/>
  <c r="G104" i="2"/>
  <c r="G103" i="2"/>
  <c r="G49" i="2"/>
  <c r="H157" i="6"/>
  <c r="J157" i="6" s="1"/>
  <c r="H164" i="6"/>
  <c r="J164" i="6" s="1"/>
  <c r="H156" i="6"/>
  <c r="J156" i="6" s="1"/>
  <c r="H163" i="6"/>
  <c r="J163" i="6" s="1"/>
  <c r="H181" i="6"/>
  <c r="J181" i="6" s="1"/>
  <c r="H134" i="6"/>
  <c r="J134" i="6" s="1"/>
  <c r="H50" i="6"/>
  <c r="J50" i="6" s="1"/>
  <c r="H127" i="6"/>
  <c r="J127" i="6" s="1"/>
  <c r="H293" i="6"/>
  <c r="J293" i="6" s="1"/>
  <c r="J291" i="6" s="1"/>
  <c r="H245" i="2" s="1"/>
  <c r="H242" i="6"/>
  <c r="J242" i="6" s="1"/>
  <c r="I105" i="6"/>
  <c r="H109" i="6"/>
  <c r="J109" i="6" s="1"/>
  <c r="H182" i="6"/>
  <c r="J182" i="6" s="1"/>
  <c r="H282" i="6"/>
  <c r="J282" i="6" s="1"/>
  <c r="H115" i="6"/>
  <c r="J115" i="6" s="1"/>
  <c r="H195" i="6"/>
  <c r="J195" i="6" s="1"/>
  <c r="H63" i="6"/>
  <c r="J63" i="6" s="1"/>
  <c r="H140" i="6"/>
  <c r="J140" i="6" s="1"/>
  <c r="H294" i="6"/>
  <c r="J294" i="6" s="1"/>
  <c r="H227" i="6"/>
  <c r="J227" i="6" s="1"/>
  <c r="H233" i="6"/>
  <c r="J233" i="6" s="1"/>
  <c r="H299" i="6"/>
  <c r="J299" i="6" s="1"/>
  <c r="H128" i="6"/>
  <c r="J128" i="6" s="1"/>
  <c r="H102" i="6"/>
  <c r="J102" i="6" s="1"/>
  <c r="H56" i="6"/>
  <c r="J56" i="6" s="1"/>
  <c r="H176" i="6"/>
  <c r="J176" i="6" s="1"/>
  <c r="H228" i="6"/>
  <c r="J228" i="6" s="1"/>
  <c r="H262" i="6"/>
  <c r="J262" i="6" s="1"/>
  <c r="H243" i="6"/>
  <c r="J243" i="6" s="1"/>
  <c r="H276" i="6"/>
  <c r="J276" i="6" s="1"/>
  <c r="H150" i="6"/>
  <c r="J150" i="6" s="1"/>
  <c r="J148" i="6" s="1"/>
  <c r="H189" i="6"/>
  <c r="J189" i="6" s="1"/>
  <c r="H300" i="6"/>
  <c r="J300" i="6" s="1"/>
  <c r="H51" i="6"/>
  <c r="J51" i="6" s="1"/>
  <c r="H70" i="6"/>
  <c r="J70" i="6" s="1"/>
  <c r="H234" i="6"/>
  <c r="J234" i="6" s="1"/>
  <c r="H69" i="6"/>
  <c r="J69" i="6" s="1"/>
  <c r="H94" i="6"/>
  <c r="J94" i="6" s="1"/>
  <c r="H175" i="6"/>
  <c r="J175" i="6" s="1"/>
  <c r="H261" i="6"/>
  <c r="J261" i="6" s="1"/>
  <c r="H202" i="6"/>
  <c r="J202" i="6" s="1"/>
  <c r="H275" i="6"/>
  <c r="J275" i="6" s="1"/>
  <c r="J273" i="6" s="1"/>
  <c r="H77" i="6"/>
  <c r="J77" i="6" s="1"/>
  <c r="H95" i="6"/>
  <c r="J95" i="6" s="1"/>
  <c r="H145" i="6"/>
  <c r="J145" i="6" s="1"/>
  <c r="J143" i="6" s="1"/>
  <c r="H53" i="2" s="1"/>
  <c r="H222" i="6"/>
  <c r="J222" i="6" s="1"/>
  <c r="H196" i="6"/>
  <c r="J196" i="6" s="1"/>
  <c r="H255" i="6"/>
  <c r="J255" i="6" s="1"/>
  <c r="H62" i="6"/>
  <c r="J62" i="6" s="1"/>
  <c r="H83" i="6"/>
  <c r="J83" i="6" s="1"/>
  <c r="H55" i="6"/>
  <c r="J55" i="6" s="1"/>
  <c r="H121" i="6"/>
  <c r="J121" i="6" s="1"/>
  <c r="H254" i="6"/>
  <c r="J254" i="6" s="1"/>
  <c r="H269" i="6"/>
  <c r="J269" i="6" s="1"/>
  <c r="J213" i="6"/>
  <c r="H281" i="6"/>
  <c r="J281" i="6" s="1"/>
  <c r="H188" i="6"/>
  <c r="J188" i="6" s="1"/>
  <c r="H221" i="6"/>
  <c r="J221" i="6" s="1"/>
  <c r="H133" i="6"/>
  <c r="J133" i="6" s="1"/>
  <c r="H139" i="6"/>
  <c r="J139" i="6" s="1"/>
  <c r="H101" i="6"/>
  <c r="J101" i="6" s="1"/>
  <c r="H76" i="6"/>
  <c r="J76" i="6" s="1"/>
  <c r="H108" i="6"/>
  <c r="J108" i="6" s="1"/>
  <c r="H287" i="6"/>
  <c r="J287" i="6" s="1"/>
  <c r="H84" i="6"/>
  <c r="J84" i="6" s="1"/>
  <c r="H122" i="6"/>
  <c r="J122" i="6" s="1"/>
  <c r="H116" i="6"/>
  <c r="J116" i="6" s="1"/>
  <c r="H270" i="6"/>
  <c r="J270" i="6" s="1"/>
  <c r="H203" i="6"/>
  <c r="J203" i="6" s="1"/>
  <c r="H288" i="6"/>
  <c r="J288" i="6" s="1"/>
  <c r="H214" i="6"/>
  <c r="J214" i="6" s="1"/>
  <c r="G172" i="2" l="1"/>
  <c r="J131" i="6"/>
  <c r="H115" i="2" s="1"/>
  <c r="J80" i="6"/>
  <c r="H195" i="2" s="1"/>
  <c r="G113" i="2"/>
  <c r="G200" i="2"/>
  <c r="G199" i="2"/>
  <c r="G236" i="2"/>
  <c r="G166" i="2"/>
  <c r="J137" i="6"/>
  <c r="H116" i="2" s="1"/>
  <c r="J279" i="6"/>
  <c r="J160" i="6"/>
  <c r="H54" i="2" s="1"/>
  <c r="J173" i="6"/>
  <c r="H170" i="2" s="1"/>
  <c r="J105" i="6"/>
  <c r="H199" i="2" s="1"/>
  <c r="J285" i="6"/>
  <c r="J206" i="6"/>
  <c r="H56" i="2" s="1"/>
  <c r="J119" i="6"/>
  <c r="H237" i="2" s="1"/>
  <c r="J192" i="6"/>
  <c r="H122" i="2" s="1"/>
  <c r="J267" i="6"/>
  <c r="H117" i="2"/>
  <c r="H201" i="2"/>
  <c r="H238" i="2"/>
  <c r="H168" i="2"/>
  <c r="J246" i="6"/>
  <c r="H173" i="2" s="1"/>
  <c r="J297" i="6"/>
  <c r="H178" i="2" s="1"/>
  <c r="J237" i="6"/>
  <c r="H126" i="2" s="1"/>
  <c r="H175" i="2"/>
  <c r="H61" i="2"/>
  <c r="H206" i="2"/>
  <c r="H130" i="2"/>
  <c r="H132" i="2"/>
  <c r="H109" i="2"/>
  <c r="H196" i="2"/>
  <c r="H234" i="2"/>
  <c r="J199" i="6"/>
  <c r="H123" i="2" s="1"/>
  <c r="J179" i="6"/>
  <c r="H121" i="2" s="1"/>
  <c r="J125" i="6"/>
  <c r="H55" i="2"/>
  <c r="J92" i="6"/>
  <c r="H164" i="2" s="1"/>
  <c r="J49" i="6"/>
  <c r="G51" i="2"/>
  <c r="G112" i="2"/>
  <c r="J153" i="6"/>
  <c r="J73" i="6"/>
  <c r="H108" i="2" s="1"/>
  <c r="J54" i="6"/>
  <c r="J185" i="6"/>
  <c r="J112" i="6"/>
  <c r="J258" i="6"/>
  <c r="J217" i="6"/>
  <c r="J66" i="6"/>
  <c r="J59" i="6"/>
  <c r="J98" i="6"/>
  <c r="J225" i="6"/>
  <c r="J231" i="6"/>
  <c r="H125" i="2" s="1"/>
  <c r="H112" i="2" l="1"/>
  <c r="H240" i="2"/>
  <c r="H120" i="2"/>
  <c r="H129" i="2"/>
  <c r="H242" i="2"/>
  <c r="H176" i="2"/>
  <c r="H244" i="2"/>
  <c r="H131" i="2"/>
  <c r="H243" i="2"/>
  <c r="H203" i="2"/>
  <c r="H52" i="2"/>
  <c r="H166" i="2"/>
  <c r="H236" i="2"/>
  <c r="H51" i="2"/>
  <c r="H207" i="2"/>
  <c r="H133" i="2"/>
  <c r="H60" i="2"/>
  <c r="H169" i="2"/>
  <c r="H205" i="2"/>
  <c r="H239" i="2"/>
  <c r="H202" i="2"/>
  <c r="H118" i="2"/>
  <c r="H127" i="2"/>
  <c r="H208" i="2"/>
  <c r="H167" i="2"/>
  <c r="H114" i="2"/>
  <c r="H172" i="2"/>
  <c r="H235" i="2"/>
  <c r="H198" i="2"/>
  <c r="H165" i="2"/>
  <c r="H62" i="2"/>
  <c r="H177" i="2"/>
  <c r="H232" i="2"/>
  <c r="H161" i="2"/>
  <c r="H160" i="2"/>
  <c r="H231" i="2"/>
  <c r="H193" i="2"/>
  <c r="H107" i="2"/>
  <c r="H194" i="2"/>
  <c r="H233" i="2"/>
  <c r="H162" i="2"/>
  <c r="H103" i="2"/>
  <c r="H229" i="2"/>
  <c r="H159" i="2"/>
  <c r="H59" i="2"/>
  <c r="H204" i="2"/>
  <c r="H241" i="2"/>
  <c r="H174" i="2"/>
  <c r="H128" i="2"/>
  <c r="H58" i="2"/>
  <c r="H171" i="2"/>
  <c r="H113" i="2"/>
  <c r="H200" i="2"/>
  <c r="H110" i="2"/>
  <c r="H197" i="2"/>
  <c r="H57" i="2"/>
  <c r="H124" i="2"/>
  <c r="H50" i="2"/>
  <c r="H111" i="2"/>
  <c r="H47" i="2"/>
  <c r="H105" i="2"/>
  <c r="H48" i="2"/>
  <c r="H106" i="2"/>
  <c r="H49" i="2"/>
  <c r="F10" i="2" l="1"/>
  <c r="F11" i="2" l="1"/>
  <c r="E7" i="4" l="1"/>
  <c r="E8" i="4"/>
  <c r="E9" i="4"/>
  <c r="E10" i="4"/>
  <c r="E11" i="4"/>
  <c r="E12" i="4"/>
  <c r="D5" i="4"/>
  <c r="E5" i="4" s="1"/>
  <c r="D6" i="4"/>
  <c r="E6" i="4" s="1"/>
  <c r="D4" i="4"/>
  <c r="E4" i="4" s="1"/>
  <c r="P212" i="2" l="1"/>
  <c r="P214" i="2"/>
  <c r="P215" i="2"/>
  <c r="P216" i="2"/>
  <c r="P218" i="2"/>
  <c r="P219" i="2"/>
  <c r="P220" i="2"/>
  <c r="P222" i="2"/>
  <c r="P223" i="2"/>
  <c r="P225" i="2"/>
  <c r="P83" i="2"/>
  <c r="P84" i="2"/>
  <c r="P86" i="2"/>
  <c r="P87" i="2"/>
  <c r="P88" i="2"/>
  <c r="P90" i="2"/>
  <c r="P91" i="2"/>
  <c r="P92" i="2"/>
  <c r="P94" i="2"/>
  <c r="P96" i="2"/>
  <c r="P97" i="2"/>
  <c r="P99" i="2"/>
  <c r="P100" i="2"/>
  <c r="P101" i="2"/>
  <c r="P137" i="2"/>
  <c r="P138" i="2"/>
  <c r="P140" i="2"/>
  <c r="P141" i="2"/>
  <c r="P142" i="2"/>
  <c r="P143" i="2"/>
  <c r="P145" i="2"/>
  <c r="P146" i="2"/>
  <c r="P147" i="2"/>
  <c r="P149" i="2"/>
  <c r="P150" i="2"/>
  <c r="P152" i="2"/>
  <c r="P154" i="2"/>
  <c r="P156" i="2"/>
  <c r="P157" i="2"/>
  <c r="P182" i="2"/>
  <c r="P183" i="2"/>
  <c r="P185" i="2"/>
  <c r="P186" i="2"/>
  <c r="P188" i="2"/>
  <c r="P190" i="2"/>
  <c r="P191" i="2"/>
  <c r="P21" i="2"/>
  <c r="P22" i="2"/>
  <c r="P23" i="2"/>
  <c r="P25" i="2"/>
  <c r="P26" i="2"/>
  <c r="P27" i="2"/>
  <c r="P28" i="2"/>
  <c r="P29" i="2"/>
  <c r="P30" i="2"/>
  <c r="P32" i="2"/>
  <c r="P33" i="2"/>
  <c r="P35" i="2"/>
  <c r="P36" i="2"/>
  <c r="P38" i="2"/>
  <c r="P40" i="2"/>
  <c r="P42" i="2"/>
  <c r="P44" i="2"/>
  <c r="P45" i="2"/>
  <c r="P66" i="2"/>
  <c r="P67" i="2"/>
  <c r="P68" i="2"/>
  <c r="P70" i="2"/>
  <c r="P71" i="2"/>
  <c r="P72" i="2"/>
  <c r="P73" i="2"/>
  <c r="P74" i="2"/>
  <c r="P76" i="2"/>
  <c r="P77" i="2"/>
  <c r="P78" i="2"/>
  <c r="P79" i="2"/>
  <c r="P80" i="2"/>
  <c r="P81" i="2"/>
  <c r="P10" i="2"/>
  <c r="P11" i="2"/>
  <c r="P12" i="2"/>
  <c r="P13" i="2"/>
  <c r="P17" i="2"/>
  <c r="P18" i="2"/>
  <c r="P20" i="2"/>
  <c r="M14" i="5" l="1"/>
  <c r="M53" i="5"/>
  <c r="M56" i="5"/>
  <c r="M52" i="5"/>
  <c r="M48" i="5"/>
  <c r="M40" i="5"/>
  <c r="M55" i="5"/>
  <c r="M51" i="5"/>
  <c r="M54" i="5"/>
  <c r="M34" i="5"/>
  <c r="M3" i="5"/>
  <c r="M25" i="5"/>
  <c r="G19" i="4" l="1"/>
  <c r="D19" i="4" s="1"/>
  <c r="E19" i="4" s="1"/>
  <c r="G18" i="4"/>
  <c r="D18" i="4" s="1"/>
  <c r="E18" i="4" s="1"/>
  <c r="G17" i="4"/>
  <c r="D17" i="4" s="1"/>
  <c r="E17" i="4" s="1"/>
  <c r="F85" i="3" l="1"/>
  <c r="F40" i="2"/>
  <c r="H40" i="2" l="1"/>
  <c r="G40" i="2"/>
  <c r="H154" i="2"/>
  <c r="G154" i="2"/>
  <c r="D40" i="2"/>
  <c r="D227" i="2"/>
  <c r="D225" i="2"/>
  <c r="D223" i="2"/>
  <c r="D222" i="2"/>
  <c r="D220" i="2"/>
  <c r="D219" i="2"/>
  <c r="D218" i="2"/>
  <c r="D216" i="2"/>
  <c r="D215" i="2"/>
  <c r="D214" i="2"/>
  <c r="D212" i="2"/>
  <c r="D191" i="2"/>
  <c r="D190" i="2"/>
  <c r="D188" i="2"/>
  <c r="D186" i="2"/>
  <c r="D185" i="2"/>
  <c r="D183" i="2"/>
  <c r="D182" i="2"/>
  <c r="D157" i="2"/>
  <c r="D156" i="2"/>
  <c r="D154" i="2"/>
  <c r="D152" i="2"/>
  <c r="D150" i="2"/>
  <c r="D149" i="2"/>
  <c r="D147" i="2"/>
  <c r="D146" i="2"/>
  <c r="D145" i="2"/>
  <c r="D143" i="2"/>
  <c r="D142" i="2"/>
  <c r="D141" i="2"/>
  <c r="D140" i="2"/>
  <c r="D138" i="2"/>
  <c r="D137" i="2"/>
  <c r="D101" i="2"/>
  <c r="D100" i="2"/>
  <c r="D99" i="2"/>
  <c r="D97" i="2"/>
  <c r="D96" i="2"/>
  <c r="D94" i="2"/>
  <c r="D92" i="2"/>
  <c r="D91" i="2"/>
  <c r="D90" i="2"/>
  <c r="D88" i="2"/>
  <c r="D87" i="2"/>
  <c r="D86" i="2"/>
  <c r="D84" i="2"/>
  <c r="D83" i="2"/>
  <c r="D81" i="2"/>
  <c r="D80" i="2"/>
  <c r="D79" i="2"/>
  <c r="D78" i="2"/>
  <c r="D77" i="2"/>
  <c r="D76" i="2"/>
  <c r="D74" i="2"/>
  <c r="D73" i="2"/>
  <c r="D72" i="2"/>
  <c r="D71" i="2"/>
  <c r="D70" i="2"/>
  <c r="D68" i="2"/>
  <c r="D67" i="2"/>
  <c r="H94" i="2"/>
  <c r="G94" i="2"/>
  <c r="D38" i="2" l="1"/>
  <c r="D36" i="2"/>
  <c r="D35" i="2"/>
  <c r="D33" i="2"/>
  <c r="D32" i="2"/>
  <c r="D30" i="2"/>
  <c r="D29" i="2"/>
  <c r="D28" i="2"/>
  <c r="D27" i="2"/>
  <c r="D26" i="2"/>
  <c r="D25" i="2"/>
  <c r="D23" i="2"/>
  <c r="D22" i="2"/>
  <c r="D21" i="2"/>
  <c r="D20" i="2"/>
  <c r="D66" i="2"/>
  <c r="D45" i="2"/>
  <c r="D44" i="2"/>
  <c r="D42" i="2"/>
  <c r="D18" i="2"/>
  <c r="D17" i="2"/>
  <c r="G18" i="2"/>
  <c r="H18" i="2"/>
  <c r="G20" i="2"/>
  <c r="H20" i="2"/>
  <c r="G21" i="2"/>
  <c r="H21" i="2"/>
  <c r="G22" i="2"/>
  <c r="H22" i="2"/>
  <c r="G23" i="2"/>
  <c r="H23" i="2"/>
  <c r="G25" i="2"/>
  <c r="H25" i="2"/>
  <c r="G26" i="2"/>
  <c r="H26" i="2"/>
  <c r="G27" i="2"/>
  <c r="H27" i="2"/>
  <c r="G28" i="2"/>
  <c r="H28" i="2"/>
  <c r="G29" i="2"/>
  <c r="H29" i="2"/>
  <c r="G30" i="2"/>
  <c r="H30" i="2"/>
  <c r="G32" i="2"/>
  <c r="H32" i="2"/>
  <c r="G33" i="2"/>
  <c r="H33" i="2"/>
  <c r="G35" i="2"/>
  <c r="H35" i="2"/>
  <c r="G36" i="2"/>
  <c r="H36" i="2"/>
  <c r="G38" i="2"/>
  <c r="H38" i="2"/>
  <c r="G42" i="2"/>
  <c r="H42" i="2"/>
  <c r="G44" i="2"/>
  <c r="H44" i="2"/>
  <c r="G45" i="2"/>
  <c r="H45" i="2"/>
  <c r="G66" i="2"/>
  <c r="H66" i="2"/>
  <c r="G67" i="2"/>
  <c r="H67" i="2"/>
  <c r="G68" i="2"/>
  <c r="H68" i="2"/>
  <c r="G70" i="2"/>
  <c r="H70" i="2"/>
  <c r="G71" i="2"/>
  <c r="H71" i="2"/>
  <c r="G72" i="2"/>
  <c r="H72" i="2"/>
  <c r="G73" i="2"/>
  <c r="H73" i="2"/>
  <c r="G74" i="2"/>
  <c r="H74" i="2"/>
  <c r="G76" i="2"/>
  <c r="H76" i="2"/>
  <c r="G77" i="2"/>
  <c r="H77" i="2"/>
  <c r="G78" i="2"/>
  <c r="H78" i="2"/>
  <c r="G79" i="2"/>
  <c r="H79" i="2"/>
  <c r="G80" i="2"/>
  <c r="H80" i="2"/>
  <c r="G81" i="2"/>
  <c r="H81" i="2"/>
  <c r="G83" i="2"/>
  <c r="H83" i="2"/>
  <c r="G84" i="2"/>
  <c r="H84" i="2"/>
  <c r="G86" i="2"/>
  <c r="H86" i="2"/>
  <c r="G87" i="2"/>
  <c r="H87" i="2"/>
  <c r="G88" i="2"/>
  <c r="H88" i="2"/>
  <c r="G90" i="2"/>
  <c r="H90" i="2"/>
  <c r="G91" i="2"/>
  <c r="H91" i="2"/>
  <c r="G92" i="2"/>
  <c r="H92" i="2"/>
  <c r="G96" i="2"/>
  <c r="H96" i="2"/>
  <c r="G97" i="2"/>
  <c r="H97" i="2"/>
  <c r="G99" i="2"/>
  <c r="H99" i="2"/>
  <c r="G100" i="2"/>
  <c r="H100" i="2"/>
  <c r="G101" i="2"/>
  <c r="H101" i="2"/>
  <c r="G137" i="2"/>
  <c r="H137" i="2"/>
  <c r="G138" i="2"/>
  <c r="H138" i="2"/>
  <c r="G140" i="2"/>
  <c r="H140" i="2"/>
  <c r="G141" i="2"/>
  <c r="H141" i="2"/>
  <c r="G142" i="2"/>
  <c r="H142" i="2"/>
  <c r="G143" i="2"/>
  <c r="H143" i="2"/>
  <c r="G145" i="2"/>
  <c r="H145" i="2"/>
  <c r="G146" i="2"/>
  <c r="H146" i="2"/>
  <c r="G147" i="2"/>
  <c r="H147" i="2"/>
  <c r="G149" i="2"/>
  <c r="H149" i="2"/>
  <c r="G150" i="2"/>
  <c r="H150" i="2"/>
  <c r="G152" i="2"/>
  <c r="H152" i="2"/>
  <c r="G156" i="2"/>
  <c r="H156" i="2"/>
  <c r="G157" i="2"/>
  <c r="H157" i="2"/>
  <c r="G182" i="2"/>
  <c r="H182" i="2"/>
  <c r="G183" i="2"/>
  <c r="H183" i="2"/>
  <c r="G185" i="2"/>
  <c r="H185" i="2"/>
  <c r="G186" i="2"/>
  <c r="H186" i="2"/>
  <c r="G188" i="2"/>
  <c r="H188" i="2"/>
  <c r="G190" i="2"/>
  <c r="H190" i="2"/>
  <c r="G191" i="2"/>
  <c r="H191" i="2"/>
  <c r="G212" i="2"/>
  <c r="H212" i="2"/>
  <c r="G214" i="2"/>
  <c r="H214" i="2"/>
  <c r="G215" i="2"/>
  <c r="H215" i="2"/>
  <c r="G216" i="2"/>
  <c r="H216" i="2"/>
  <c r="G218" i="2"/>
  <c r="H218" i="2"/>
  <c r="G219" i="2"/>
  <c r="H219" i="2"/>
  <c r="G220" i="2"/>
  <c r="H220" i="2"/>
  <c r="G222" i="2"/>
  <c r="H222" i="2"/>
  <c r="G223" i="2"/>
  <c r="H223" i="2"/>
  <c r="G225" i="2"/>
  <c r="H225" i="2"/>
  <c r="G227" i="2"/>
  <c r="H227" i="2"/>
  <c r="H17" i="2"/>
  <c r="G17" i="2"/>
  <c r="F216" i="2" l="1"/>
  <c r="F225" i="2"/>
  <c r="F186" i="2"/>
  <c r="F190" i="2"/>
  <c r="F143" i="2"/>
  <c r="F152" i="2"/>
  <c r="F156" i="2"/>
  <c r="F157" i="2"/>
  <c r="F72" i="2"/>
  <c r="F74" i="2"/>
  <c r="F76" i="2"/>
  <c r="F83" i="2"/>
  <c r="F86" i="2"/>
  <c r="F87" i="2"/>
  <c r="F90" i="2"/>
  <c r="F91" i="2"/>
  <c r="F92" i="2"/>
  <c r="F96" i="2"/>
  <c r="F99" i="2"/>
  <c r="F100" i="2"/>
  <c r="F101" i="2"/>
  <c r="F35" i="2"/>
  <c r="F38" i="2"/>
  <c r="F44" i="2"/>
  <c r="F45" i="2"/>
  <c r="G71" i="3"/>
  <c r="F84" i="2" s="1"/>
  <c r="I71" i="3"/>
  <c r="F191" i="2" s="1"/>
  <c r="H68" i="3"/>
  <c r="F149" i="2" s="1"/>
  <c r="J68" i="3"/>
  <c r="J71" i="3" s="1"/>
  <c r="F223" i="2" s="1"/>
  <c r="K19" i="3"/>
  <c r="K10" i="3"/>
  <c r="H71" i="3" l="1"/>
  <c r="F150" i="2" s="1"/>
  <c r="F222" i="2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J88" i="3"/>
  <c r="F227" i="2" s="1"/>
  <c r="G88" i="3"/>
  <c r="F97" i="2" s="1"/>
  <c r="F88" i="3"/>
  <c r="L87" i="3"/>
  <c r="L86" i="3"/>
  <c r="H85" i="3"/>
  <c r="F154" i="2" s="1"/>
  <c r="G85" i="3"/>
  <c r="F94" i="2" s="1"/>
  <c r="L84" i="3"/>
  <c r="L83" i="3"/>
  <c r="L82" i="3"/>
  <c r="L81" i="3"/>
  <c r="L80" i="3"/>
  <c r="L79" i="3"/>
  <c r="L78" i="3"/>
  <c r="G77" i="3"/>
  <c r="F88" i="2" s="1"/>
  <c r="F77" i="3"/>
  <c r="F36" i="2" s="1"/>
  <c r="L76" i="3"/>
  <c r="L75" i="3"/>
  <c r="L74" i="3"/>
  <c r="L73" i="3"/>
  <c r="L72" i="3"/>
  <c r="L70" i="3"/>
  <c r="L69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J53" i="3"/>
  <c r="F220" i="2" s="1"/>
  <c r="I53" i="3"/>
  <c r="F188" i="2" s="1"/>
  <c r="J52" i="3"/>
  <c r="I52" i="3"/>
  <c r="H52" i="3"/>
  <c r="L51" i="3"/>
  <c r="L50" i="3"/>
  <c r="I49" i="3"/>
  <c r="G48" i="3"/>
  <c r="L47" i="3"/>
  <c r="L46" i="3"/>
  <c r="L43" i="3"/>
  <c r="L42" i="3"/>
  <c r="L41" i="3"/>
  <c r="L40" i="3"/>
  <c r="L39" i="3"/>
  <c r="L38" i="3"/>
  <c r="L37" i="3"/>
  <c r="L36" i="3"/>
  <c r="L35" i="3"/>
  <c r="L34" i="3"/>
  <c r="J33" i="3"/>
  <c r="F215" i="2" s="1"/>
  <c r="I33" i="3"/>
  <c r="F185" i="2" s="1"/>
  <c r="H33" i="3"/>
  <c r="F142" i="2" s="1"/>
  <c r="G33" i="3"/>
  <c r="F73" i="2" s="1"/>
  <c r="F33" i="3"/>
  <c r="L32" i="3"/>
  <c r="L31" i="3"/>
  <c r="L30" i="3"/>
  <c r="L29" i="3"/>
  <c r="L28" i="3"/>
  <c r="L27" i="3"/>
  <c r="L26" i="3"/>
  <c r="L25" i="3"/>
  <c r="L24" i="3"/>
  <c r="H22" i="3"/>
  <c r="F141" i="2" s="1"/>
  <c r="G22" i="3"/>
  <c r="F71" i="2" s="1"/>
  <c r="F22" i="3"/>
  <c r="J21" i="3"/>
  <c r="H21" i="3"/>
  <c r="G21" i="3"/>
  <c r="G45" i="3" s="1"/>
  <c r="L20" i="3"/>
  <c r="L19" i="3"/>
  <c r="L18" i="3"/>
  <c r="F17" i="3"/>
  <c r="L16" i="3"/>
  <c r="I15" i="3"/>
  <c r="F183" i="2" s="1"/>
  <c r="H15" i="3"/>
  <c r="F138" i="2" s="1"/>
  <c r="G15" i="3"/>
  <c r="F68" i="2" s="1"/>
  <c r="F15" i="3"/>
  <c r="G14" i="3"/>
  <c r="F67" i="2" s="1"/>
  <c r="L13" i="3"/>
  <c r="J12" i="3"/>
  <c r="F212" i="2" s="1"/>
  <c r="I12" i="3"/>
  <c r="F182" i="2" s="1"/>
  <c r="H12" i="3"/>
  <c r="F137" i="2" s="1"/>
  <c r="G12" i="3"/>
  <c r="L11" i="3"/>
  <c r="L15" i="3" l="1"/>
  <c r="F17" i="2"/>
  <c r="J45" i="3"/>
  <c r="F214" i="2"/>
  <c r="L88" i="3"/>
  <c r="F42" i="2"/>
  <c r="L22" i="3"/>
  <c r="F20" i="2"/>
  <c r="L33" i="3"/>
  <c r="F22" i="2"/>
  <c r="L21" i="3"/>
  <c r="F70" i="2"/>
  <c r="L12" i="3"/>
  <c r="F66" i="2"/>
  <c r="F23" i="3"/>
  <c r="F21" i="2" s="1"/>
  <c r="F18" i="2"/>
  <c r="L17" i="3"/>
  <c r="L14" i="3"/>
  <c r="H45" i="3"/>
  <c r="F145" i="2" s="1"/>
  <c r="F140" i="2"/>
  <c r="L77" i="3"/>
  <c r="L85" i="3"/>
  <c r="J49" i="3"/>
  <c r="F219" i="2" s="1"/>
  <c r="F218" i="2"/>
  <c r="G52" i="3"/>
  <c r="F80" i="2" s="1"/>
  <c r="F78" i="2"/>
  <c r="G49" i="3"/>
  <c r="F77" i="2"/>
  <c r="F44" i="3"/>
  <c r="F25" i="2" s="1"/>
  <c r="L23" i="3"/>
  <c r="F45" i="3"/>
  <c r="F26" i="2" s="1"/>
  <c r="H49" i="3" l="1"/>
  <c r="H53" i="3"/>
  <c r="F147" i="2" s="1"/>
  <c r="F146" i="2"/>
  <c r="G53" i="3"/>
  <c r="F81" i="2" s="1"/>
  <c r="F79" i="2"/>
  <c r="F49" i="3"/>
  <c r="F28" i="2" s="1"/>
  <c r="L45" i="3"/>
  <c r="F48" i="3"/>
  <c r="F27" i="2" s="1"/>
  <c r="L44" i="3"/>
  <c r="L49" i="3" l="1"/>
  <c r="F52" i="3"/>
  <c r="F29" i="2" s="1"/>
  <c r="L48" i="3"/>
  <c r="F68" i="3"/>
  <c r="F32" i="2" s="1"/>
  <c r="F53" i="3"/>
  <c r="F30" i="2" s="1"/>
  <c r="L52" i="3" l="1"/>
  <c r="L53" i="3"/>
  <c r="F71" i="3"/>
  <c r="F33" i="2" s="1"/>
  <c r="L68" i="3"/>
  <c r="L71" i="3" l="1"/>
  <c r="G4" i="2"/>
  <c r="G5" i="2"/>
  <c r="G6" i="2"/>
  <c r="M49" i="5" l="1"/>
  <c r="M50" i="5" s="1"/>
  <c r="B7" i="1"/>
  <c r="D50" i="5" l="1"/>
  <c r="E50" i="5"/>
  <c r="G50" i="5"/>
  <c r="M41" i="5"/>
  <c r="M35" i="5"/>
  <c r="M15" i="5"/>
  <c r="M4" i="5"/>
  <c r="M26" i="5"/>
  <c r="C45" i="1"/>
  <c r="D36" i="1" s="1"/>
  <c r="C17" i="1" s="1"/>
  <c r="G3" i="2" l="1"/>
  <c r="J3" i="6"/>
  <c r="I164" i="2"/>
  <c r="K164" i="2" s="1"/>
  <c r="J164" i="2"/>
  <c r="L164" i="2" s="1"/>
  <c r="I178" i="2"/>
  <c r="K178" i="2" s="1"/>
  <c r="J178" i="2"/>
  <c r="L178" i="2" s="1"/>
  <c r="J243" i="2"/>
  <c r="L243" i="2" s="1"/>
  <c r="J244" i="2"/>
  <c r="L244" i="2" s="1"/>
  <c r="I243" i="2"/>
  <c r="K243" i="2" s="1"/>
  <c r="I245" i="2"/>
  <c r="K245" i="2" s="1"/>
  <c r="J242" i="2"/>
  <c r="L242" i="2" s="1"/>
  <c r="I244" i="2"/>
  <c r="K244" i="2" s="1"/>
  <c r="I242" i="2"/>
  <c r="K242" i="2" s="1"/>
  <c r="J245" i="2"/>
  <c r="L245" i="2" s="1"/>
  <c r="I241" i="2"/>
  <c r="K241" i="2" s="1"/>
  <c r="J234" i="2"/>
  <c r="L234" i="2" s="1"/>
  <c r="I234" i="2"/>
  <c r="K234" i="2" s="1"/>
  <c r="J241" i="2"/>
  <c r="L241" i="2" s="1"/>
  <c r="I237" i="2"/>
  <c r="K237" i="2" s="1"/>
  <c r="I235" i="2"/>
  <c r="K235" i="2" s="1"/>
  <c r="J233" i="2"/>
  <c r="L233" i="2" s="1"/>
  <c r="I236" i="2"/>
  <c r="K236" i="2" s="1"/>
  <c r="J235" i="2"/>
  <c r="L235" i="2" s="1"/>
  <c r="J239" i="2"/>
  <c r="L239" i="2" s="1"/>
  <c r="J231" i="2"/>
  <c r="L231" i="2" s="1"/>
  <c r="J238" i="2"/>
  <c r="L238" i="2" s="1"/>
  <c r="I231" i="2"/>
  <c r="K231" i="2" s="1"/>
  <c r="I238" i="2"/>
  <c r="K238" i="2" s="1"/>
  <c r="J232" i="2"/>
  <c r="L232" i="2" s="1"/>
  <c r="I240" i="2"/>
  <c r="K240" i="2" s="1"/>
  <c r="I239" i="2"/>
  <c r="K239" i="2" s="1"/>
  <c r="I232" i="2"/>
  <c r="K232" i="2" s="1"/>
  <c r="J236" i="2"/>
  <c r="L236" i="2" s="1"/>
  <c r="I233" i="2"/>
  <c r="K233" i="2" s="1"/>
  <c r="J240" i="2"/>
  <c r="L240" i="2" s="1"/>
  <c r="J237" i="2"/>
  <c r="L237" i="2" s="1"/>
  <c r="I230" i="2"/>
  <c r="K230" i="2" s="1"/>
  <c r="J230" i="2"/>
  <c r="L230" i="2" s="1"/>
  <c r="I229" i="2"/>
  <c r="K229" i="2" s="1"/>
  <c r="J229" i="2"/>
  <c r="L229" i="2" s="1"/>
  <c r="J196" i="2"/>
  <c r="L196" i="2" s="1"/>
  <c r="J195" i="2"/>
  <c r="L195" i="2" s="1"/>
  <c r="I194" i="2"/>
  <c r="K194" i="2" s="1"/>
  <c r="I196" i="2"/>
  <c r="K196" i="2" s="1"/>
  <c r="I197" i="2"/>
  <c r="K197" i="2" s="1"/>
  <c r="I206" i="2"/>
  <c r="K206" i="2" s="1"/>
  <c r="J204" i="2"/>
  <c r="L204" i="2" s="1"/>
  <c r="I200" i="2"/>
  <c r="K200" i="2" s="1"/>
  <c r="J198" i="2"/>
  <c r="L198" i="2" s="1"/>
  <c r="J205" i="2"/>
  <c r="L205" i="2" s="1"/>
  <c r="I208" i="2"/>
  <c r="K208" i="2" s="1"/>
  <c r="I199" i="2"/>
  <c r="K199" i="2" s="1"/>
  <c r="J206" i="2"/>
  <c r="L206" i="2" s="1"/>
  <c r="I203" i="2"/>
  <c r="K203" i="2" s="1"/>
  <c r="J200" i="2"/>
  <c r="L200" i="2" s="1"/>
  <c r="J207" i="2"/>
  <c r="L207" i="2" s="1"/>
  <c r="I195" i="2"/>
  <c r="K195" i="2" s="1"/>
  <c r="J193" i="2"/>
  <c r="L193" i="2" s="1"/>
  <c r="I207" i="2"/>
  <c r="K207" i="2" s="1"/>
  <c r="J202" i="2"/>
  <c r="L202" i="2" s="1"/>
  <c r="I201" i="2"/>
  <c r="K201" i="2" s="1"/>
  <c r="J199" i="2"/>
  <c r="L199" i="2" s="1"/>
  <c r="J194" i="2"/>
  <c r="L194" i="2" s="1"/>
  <c r="I205" i="2"/>
  <c r="K205" i="2" s="1"/>
  <c r="I202" i="2"/>
  <c r="K202" i="2" s="1"/>
  <c r="J197" i="2"/>
  <c r="L197" i="2" s="1"/>
  <c r="I193" i="2"/>
  <c r="K193" i="2" s="1"/>
  <c r="I204" i="2"/>
  <c r="K204" i="2" s="1"/>
  <c r="J201" i="2"/>
  <c r="L201" i="2" s="1"/>
  <c r="I198" i="2"/>
  <c r="K198" i="2" s="1"/>
  <c r="J208" i="2"/>
  <c r="L208" i="2" s="1"/>
  <c r="J203" i="2"/>
  <c r="L203" i="2" s="1"/>
  <c r="J174" i="2"/>
  <c r="L174" i="2" s="1"/>
  <c r="I176" i="2"/>
  <c r="K176" i="2" s="1"/>
  <c r="I174" i="2"/>
  <c r="K174" i="2" s="1"/>
  <c r="I173" i="2"/>
  <c r="K173" i="2" s="1"/>
  <c r="J173" i="2"/>
  <c r="L173" i="2" s="1"/>
  <c r="J175" i="2"/>
  <c r="L175" i="2" s="1"/>
  <c r="I172" i="2"/>
  <c r="K172" i="2" s="1"/>
  <c r="J172" i="2"/>
  <c r="L172" i="2" s="1"/>
  <c r="I177" i="2"/>
  <c r="K177" i="2" s="1"/>
  <c r="J176" i="2"/>
  <c r="L176" i="2" s="1"/>
  <c r="J177" i="2"/>
  <c r="L177" i="2" s="1"/>
  <c r="I175" i="2"/>
  <c r="K175" i="2" s="1"/>
  <c r="I171" i="2"/>
  <c r="K171" i="2" s="1"/>
  <c r="I167" i="2"/>
  <c r="K167" i="2" s="1"/>
  <c r="J169" i="2"/>
  <c r="L169" i="2" s="1"/>
  <c r="J170" i="2"/>
  <c r="L170" i="2" s="1"/>
  <c r="I166" i="2"/>
  <c r="K166" i="2" s="1"/>
  <c r="I165" i="2"/>
  <c r="K165" i="2" s="1"/>
  <c r="J168" i="2"/>
  <c r="L168" i="2" s="1"/>
  <c r="J165" i="2"/>
  <c r="L165" i="2" s="1"/>
  <c r="I160" i="2"/>
  <c r="K160" i="2" s="1"/>
  <c r="I169" i="2"/>
  <c r="K169" i="2" s="1"/>
  <c r="I168" i="2"/>
  <c r="K168" i="2" s="1"/>
  <c r="M168" i="2" s="1"/>
  <c r="I159" i="2"/>
  <c r="K159" i="2" s="1"/>
  <c r="J159" i="2"/>
  <c r="L159" i="2" s="1"/>
  <c r="J171" i="2"/>
  <c r="L171" i="2" s="1"/>
  <c r="J160" i="2"/>
  <c r="L160" i="2" s="1"/>
  <c r="J167" i="2"/>
  <c r="L167" i="2" s="1"/>
  <c r="I170" i="2"/>
  <c r="K170" i="2" s="1"/>
  <c r="J166" i="2"/>
  <c r="L166" i="2" s="1"/>
  <c r="J161" i="2"/>
  <c r="L161" i="2" s="1"/>
  <c r="I162" i="2"/>
  <c r="K162" i="2" s="1"/>
  <c r="J162" i="2"/>
  <c r="L162" i="2" s="1"/>
  <c r="I161" i="2"/>
  <c r="K161" i="2" s="1"/>
  <c r="I132" i="2"/>
  <c r="K132" i="2" s="1"/>
  <c r="J132" i="2"/>
  <c r="L132" i="2" s="1"/>
  <c r="I133" i="2"/>
  <c r="K133" i="2" s="1"/>
  <c r="J119" i="2"/>
  <c r="L119" i="2" s="1"/>
  <c r="J129" i="2"/>
  <c r="L129" i="2" s="1"/>
  <c r="J133" i="2"/>
  <c r="L133" i="2" s="1"/>
  <c r="I130" i="2"/>
  <c r="K130" i="2" s="1"/>
  <c r="J104" i="2"/>
  <c r="L104" i="2" s="1"/>
  <c r="J124" i="2"/>
  <c r="L124" i="2" s="1"/>
  <c r="J130" i="2"/>
  <c r="L130" i="2" s="1"/>
  <c r="I114" i="2"/>
  <c r="K114" i="2" s="1"/>
  <c r="I125" i="2"/>
  <c r="K125" i="2" s="1"/>
  <c r="I131" i="2"/>
  <c r="K131" i="2" s="1"/>
  <c r="J125" i="2"/>
  <c r="L125" i="2" s="1"/>
  <c r="J131" i="2"/>
  <c r="L131" i="2" s="1"/>
  <c r="I118" i="2"/>
  <c r="K118" i="2" s="1"/>
  <c r="I128" i="2"/>
  <c r="K128" i="2" s="1"/>
  <c r="J118" i="2"/>
  <c r="L118" i="2" s="1"/>
  <c r="J128" i="2"/>
  <c r="L128" i="2" s="1"/>
  <c r="I119" i="2"/>
  <c r="K119" i="2" s="1"/>
  <c r="I129" i="2"/>
  <c r="K129" i="2" s="1"/>
  <c r="I124" i="2"/>
  <c r="K124" i="2" s="1"/>
  <c r="J116" i="2"/>
  <c r="L116" i="2" s="1"/>
  <c r="J113" i="2"/>
  <c r="L113" i="2" s="1"/>
  <c r="J110" i="2"/>
  <c r="L110" i="2" s="1"/>
  <c r="J120" i="2"/>
  <c r="L120" i="2" s="1"/>
  <c r="J115" i="2"/>
  <c r="L115" i="2" s="1"/>
  <c r="J126" i="2"/>
  <c r="L126" i="2" s="1"/>
  <c r="I122" i="2"/>
  <c r="K122" i="2" s="1"/>
  <c r="J114" i="2"/>
  <c r="L114" i="2" s="1"/>
  <c r="J123" i="2"/>
  <c r="L123" i="2" s="1"/>
  <c r="I127" i="2"/>
  <c r="K127" i="2" s="1"/>
  <c r="I120" i="2"/>
  <c r="K120" i="2" s="1"/>
  <c r="I126" i="2"/>
  <c r="K126" i="2" s="1"/>
  <c r="J109" i="2"/>
  <c r="L109" i="2" s="1"/>
  <c r="I117" i="2"/>
  <c r="K117" i="2" s="1"/>
  <c r="I116" i="2"/>
  <c r="K116" i="2" s="1"/>
  <c r="I110" i="2"/>
  <c r="K110" i="2" s="1"/>
  <c r="J122" i="2"/>
  <c r="L122" i="2" s="1"/>
  <c r="J117" i="2"/>
  <c r="L117" i="2" s="1"/>
  <c r="J111" i="2"/>
  <c r="L111" i="2" s="1"/>
  <c r="I123" i="2"/>
  <c r="K123" i="2" s="1"/>
  <c r="J112" i="2"/>
  <c r="L112" i="2" s="1"/>
  <c r="I115" i="2"/>
  <c r="K115" i="2" s="1"/>
  <c r="J121" i="2"/>
  <c r="L121" i="2" s="1"/>
  <c r="I109" i="2"/>
  <c r="K109" i="2" s="1"/>
  <c r="I121" i="2"/>
  <c r="K121" i="2" s="1"/>
  <c r="I108" i="2"/>
  <c r="K108" i="2" s="1"/>
  <c r="I107" i="2"/>
  <c r="K107" i="2" s="1"/>
  <c r="I113" i="2"/>
  <c r="K113" i="2" s="1"/>
  <c r="I105" i="2"/>
  <c r="K105" i="2" s="1"/>
  <c r="J103" i="2"/>
  <c r="L103" i="2" s="1"/>
  <c r="I111" i="2"/>
  <c r="K111" i="2" s="1"/>
  <c r="M111" i="2" s="1"/>
  <c r="I103" i="2"/>
  <c r="K103" i="2" s="1"/>
  <c r="I106" i="2"/>
  <c r="K106" i="2" s="1"/>
  <c r="I104" i="2"/>
  <c r="K104" i="2" s="1"/>
  <c r="M104" i="2" s="1"/>
  <c r="J107" i="2"/>
  <c r="L107" i="2" s="1"/>
  <c r="M107" i="2" s="1"/>
  <c r="J127" i="2"/>
  <c r="L127" i="2" s="1"/>
  <c r="I112" i="2"/>
  <c r="K112" i="2" s="1"/>
  <c r="M112" i="2" s="1"/>
  <c r="J108" i="2"/>
  <c r="L108" i="2" s="1"/>
  <c r="J106" i="2"/>
  <c r="L106" i="2" s="1"/>
  <c r="J105" i="2"/>
  <c r="L105" i="2" s="1"/>
  <c r="J47" i="2"/>
  <c r="L47" i="2" s="1"/>
  <c r="I62" i="2"/>
  <c r="K62" i="2" s="1"/>
  <c r="J49" i="2"/>
  <c r="L49" i="2" s="1"/>
  <c r="J62" i="2"/>
  <c r="L62" i="2" s="1"/>
  <c r="J58" i="2"/>
  <c r="L58" i="2" s="1"/>
  <c r="J54" i="2"/>
  <c r="L54" i="2" s="1"/>
  <c r="J50" i="2"/>
  <c r="L50" i="2" s="1"/>
  <c r="I57" i="2"/>
  <c r="K57" i="2" s="1"/>
  <c r="I53" i="2"/>
  <c r="K53" i="2" s="1"/>
  <c r="I61" i="2"/>
  <c r="K61" i="2" s="1"/>
  <c r="J61" i="2"/>
  <c r="L61" i="2" s="1"/>
  <c r="J57" i="2"/>
  <c r="L57" i="2" s="1"/>
  <c r="J53" i="2"/>
  <c r="L53" i="2" s="1"/>
  <c r="J48" i="2"/>
  <c r="L48" i="2" s="1"/>
  <c r="I56" i="2"/>
  <c r="K56" i="2" s="1"/>
  <c r="I52" i="2"/>
  <c r="K52" i="2" s="1"/>
  <c r="I60" i="2"/>
  <c r="K60" i="2" s="1"/>
  <c r="I51" i="2"/>
  <c r="K51" i="2" s="1"/>
  <c r="I59" i="2"/>
  <c r="K59" i="2" s="1"/>
  <c r="I49" i="2"/>
  <c r="K49" i="2" s="1"/>
  <c r="J60" i="2"/>
  <c r="L60" i="2" s="1"/>
  <c r="J56" i="2"/>
  <c r="L56" i="2" s="1"/>
  <c r="J52" i="2"/>
  <c r="L52" i="2" s="1"/>
  <c r="I55" i="2"/>
  <c r="K55" i="2" s="1"/>
  <c r="I47" i="2"/>
  <c r="K47" i="2" s="1"/>
  <c r="J59" i="2"/>
  <c r="L59" i="2" s="1"/>
  <c r="J55" i="2"/>
  <c r="L55" i="2" s="1"/>
  <c r="J51" i="2"/>
  <c r="L51" i="2" s="1"/>
  <c r="I58" i="2"/>
  <c r="K58" i="2" s="1"/>
  <c r="I54" i="2"/>
  <c r="K54" i="2" s="1"/>
  <c r="I50" i="2"/>
  <c r="K50" i="2" s="1"/>
  <c r="I48" i="2"/>
  <c r="K48" i="2" s="1"/>
  <c r="I13" i="2"/>
  <c r="K13" i="2" s="1"/>
  <c r="I12" i="2"/>
  <c r="K12" i="2" s="1"/>
  <c r="I80" i="2"/>
  <c r="K80" i="2" s="1"/>
  <c r="J90" i="2"/>
  <c r="L90" i="2" s="1"/>
  <c r="I146" i="2"/>
  <c r="K146" i="2" s="1"/>
  <c r="J185" i="2"/>
  <c r="L185" i="2" s="1"/>
  <c r="I225" i="2"/>
  <c r="K225" i="2" s="1"/>
  <c r="I35" i="2"/>
  <c r="K35" i="2" s="1"/>
  <c r="J77" i="2"/>
  <c r="L77" i="2" s="1"/>
  <c r="I100" i="2"/>
  <c r="K100" i="2" s="1"/>
  <c r="J182" i="2"/>
  <c r="L182" i="2" s="1"/>
  <c r="I222" i="2"/>
  <c r="K222" i="2" s="1"/>
  <c r="I32" i="2"/>
  <c r="K32" i="2" s="1"/>
  <c r="J74" i="2"/>
  <c r="L74" i="2" s="1"/>
  <c r="I97" i="2"/>
  <c r="K97" i="2" s="1"/>
  <c r="J156" i="2"/>
  <c r="L156" i="2" s="1"/>
  <c r="I219" i="2"/>
  <c r="K219" i="2" s="1"/>
  <c r="I29" i="2"/>
  <c r="K29" i="2" s="1"/>
  <c r="J72" i="2"/>
  <c r="L72" i="2" s="1"/>
  <c r="I92" i="2"/>
  <c r="K92" i="2" s="1"/>
  <c r="J150" i="2"/>
  <c r="L150" i="2" s="1"/>
  <c r="J10" i="2"/>
  <c r="L10" i="2" s="1"/>
  <c r="J154" i="2"/>
  <c r="L154" i="2" s="1"/>
  <c r="J13" i="2"/>
  <c r="L13" i="2" s="1"/>
  <c r="I71" i="2"/>
  <c r="K71" i="2" s="1"/>
  <c r="J79" i="2"/>
  <c r="L79" i="2" s="1"/>
  <c r="I90" i="2"/>
  <c r="K90" i="2" s="1"/>
  <c r="J147" i="2"/>
  <c r="L147" i="2" s="1"/>
  <c r="I214" i="2"/>
  <c r="K214" i="2" s="1"/>
  <c r="I25" i="2"/>
  <c r="K25" i="2" s="1"/>
  <c r="J67" i="2"/>
  <c r="L67" i="2" s="1"/>
  <c r="I87" i="2"/>
  <c r="K87" i="2" s="1"/>
  <c r="J145" i="2"/>
  <c r="L145" i="2" s="1"/>
  <c r="I191" i="2"/>
  <c r="K191" i="2" s="1"/>
  <c r="I22" i="2"/>
  <c r="K22" i="2" s="1"/>
  <c r="J45" i="2"/>
  <c r="L45" i="2" s="1"/>
  <c r="I84" i="2"/>
  <c r="K84" i="2" s="1"/>
  <c r="J142" i="2"/>
  <c r="L142" i="2" s="1"/>
  <c r="I188" i="2"/>
  <c r="K188" i="2" s="1"/>
  <c r="I20" i="2"/>
  <c r="K20" i="2" s="1"/>
  <c r="J42" i="2"/>
  <c r="L42" i="2" s="1"/>
  <c r="I81" i="2"/>
  <c r="K81" i="2" s="1"/>
  <c r="J140" i="2"/>
  <c r="L140" i="2" s="1"/>
  <c r="I10" i="2"/>
  <c r="K10" i="2" s="1"/>
  <c r="I21" i="2"/>
  <c r="K21" i="2" s="1"/>
  <c r="I83" i="2"/>
  <c r="K83" i="2" s="1"/>
  <c r="I186" i="2"/>
  <c r="K186" i="2" s="1"/>
  <c r="I94" i="2"/>
  <c r="K94" i="2" s="1"/>
  <c r="I215" i="2"/>
  <c r="K215" i="2" s="1"/>
  <c r="J100" i="2"/>
  <c r="L100" i="2" s="1"/>
  <c r="J35" i="2"/>
  <c r="L35" i="2" s="1"/>
  <c r="I152" i="2"/>
  <c r="K152" i="2" s="1"/>
  <c r="J92" i="2"/>
  <c r="L92" i="2" s="1"/>
  <c r="J29" i="2"/>
  <c r="L29" i="2" s="1"/>
  <c r="J146" i="2"/>
  <c r="L146" i="2" s="1"/>
  <c r="J27" i="2"/>
  <c r="L27" i="2" s="1"/>
  <c r="I143" i="2"/>
  <c r="K143" i="2" s="1"/>
  <c r="I66" i="2"/>
  <c r="K66" i="2" s="1"/>
  <c r="J191" i="2"/>
  <c r="L191" i="2" s="1"/>
  <c r="J81" i="2"/>
  <c r="L81" i="2" s="1"/>
  <c r="J20" i="2"/>
  <c r="L20" i="2" s="1"/>
  <c r="J94" i="2"/>
  <c r="L94" i="2" s="1"/>
  <c r="J17" i="2"/>
  <c r="L17" i="2" s="1"/>
  <c r="I38" i="2"/>
  <c r="K38" i="2" s="1"/>
  <c r="J70" i="2"/>
  <c r="L70" i="2" s="1"/>
  <c r="I79" i="2"/>
  <c r="K79" i="2" s="1"/>
  <c r="M79" i="2" s="1"/>
  <c r="J137" i="2"/>
  <c r="L137" i="2" s="1"/>
  <c r="I182" i="2"/>
  <c r="K182" i="2" s="1"/>
  <c r="J223" i="2"/>
  <c r="L223" i="2" s="1"/>
  <c r="J33" i="2"/>
  <c r="L33" i="2" s="1"/>
  <c r="I77" i="2"/>
  <c r="K77" i="2" s="1"/>
  <c r="J101" i="2"/>
  <c r="L101" i="2" s="1"/>
  <c r="I156" i="2"/>
  <c r="K156" i="2" s="1"/>
  <c r="J220" i="2"/>
  <c r="L220" i="2" s="1"/>
  <c r="J30" i="2"/>
  <c r="L30" i="2" s="1"/>
  <c r="I74" i="2"/>
  <c r="K74" i="2" s="1"/>
  <c r="J99" i="2"/>
  <c r="L99" i="2" s="1"/>
  <c r="I150" i="2"/>
  <c r="K150" i="2" s="1"/>
  <c r="J218" i="2"/>
  <c r="L218" i="2" s="1"/>
  <c r="J28" i="2"/>
  <c r="L28" i="2" s="1"/>
  <c r="I72" i="2"/>
  <c r="K72" i="2" s="1"/>
  <c r="J96" i="2"/>
  <c r="L96" i="2" s="1"/>
  <c r="J21" i="2"/>
  <c r="L21" i="2" s="1"/>
  <c r="J86" i="2"/>
  <c r="L86" i="2" s="1"/>
  <c r="J186" i="2"/>
  <c r="L186" i="2" s="1"/>
  <c r="I42" i="2"/>
  <c r="K42" i="2" s="1"/>
  <c r="J83" i="2"/>
  <c r="L83" i="2" s="1"/>
  <c r="I185" i="2"/>
  <c r="K185" i="2" s="1"/>
  <c r="J26" i="2"/>
  <c r="L26" i="2" s="1"/>
  <c r="J80" i="2"/>
  <c r="L80" i="2" s="1"/>
  <c r="J157" i="2"/>
  <c r="L157" i="2" s="1"/>
  <c r="I33" i="2"/>
  <c r="K33" i="2" s="1"/>
  <c r="I99" i="2"/>
  <c r="K99" i="2" s="1"/>
  <c r="M99" i="2" s="1"/>
  <c r="I220" i="2"/>
  <c r="K220" i="2" s="1"/>
  <c r="M220" i="2" s="1"/>
  <c r="I30" i="2"/>
  <c r="K30" i="2" s="1"/>
  <c r="M30" i="2" s="1"/>
  <c r="I96" i="2"/>
  <c r="K96" i="2" s="1"/>
  <c r="I218" i="2"/>
  <c r="K218" i="2" s="1"/>
  <c r="I28" i="2"/>
  <c r="K28" i="2" s="1"/>
  <c r="I154" i="2"/>
  <c r="K154" i="2" s="1"/>
  <c r="I227" i="2"/>
  <c r="K227" i="2" s="1"/>
  <c r="J71" i="2"/>
  <c r="L71" i="2" s="1"/>
  <c r="J143" i="2"/>
  <c r="L143" i="2" s="1"/>
  <c r="I23" i="2"/>
  <c r="K23" i="2" s="1"/>
  <c r="I86" i="2"/>
  <c r="K86" i="2" s="1"/>
  <c r="J141" i="2"/>
  <c r="L141" i="2" s="1"/>
  <c r="J138" i="2"/>
  <c r="L138" i="2" s="1"/>
  <c r="J44" i="2"/>
  <c r="L44" i="2" s="1"/>
  <c r="J183" i="2"/>
  <c r="L183" i="2" s="1"/>
  <c r="I17" i="2"/>
  <c r="K17" i="2" s="1"/>
  <c r="I78" i="2"/>
  <c r="K78" i="2" s="1"/>
  <c r="I157" i="2"/>
  <c r="K157" i="2" s="1"/>
  <c r="M157" i="2" s="1"/>
  <c r="I76" i="2"/>
  <c r="K76" i="2" s="1"/>
  <c r="J222" i="2"/>
  <c r="L222" i="2" s="1"/>
  <c r="I73" i="2"/>
  <c r="K73" i="2" s="1"/>
  <c r="J219" i="2"/>
  <c r="L219" i="2" s="1"/>
  <c r="I91" i="2"/>
  <c r="K91" i="2" s="1"/>
  <c r="J216" i="2"/>
  <c r="L216" i="2" s="1"/>
  <c r="J87" i="2"/>
  <c r="L87" i="2" s="1"/>
  <c r="J25" i="2"/>
  <c r="L25" i="2" s="1"/>
  <c r="I141" i="2"/>
  <c r="K141" i="2" s="1"/>
  <c r="I44" i="2"/>
  <c r="K44" i="2" s="1"/>
  <c r="J188" i="2"/>
  <c r="L188" i="2" s="1"/>
  <c r="J40" i="2"/>
  <c r="L40" i="2" s="1"/>
  <c r="I216" i="2"/>
  <c r="K216" i="2" s="1"/>
  <c r="I27" i="2"/>
  <c r="K27" i="2" s="1"/>
  <c r="J36" i="2"/>
  <c r="L36" i="2" s="1"/>
  <c r="I70" i="2"/>
  <c r="K70" i="2" s="1"/>
  <c r="J91" i="2"/>
  <c r="L91" i="2" s="1"/>
  <c r="I145" i="2"/>
  <c r="K145" i="2" s="1"/>
  <c r="M145" i="2" s="1"/>
  <c r="J212" i="2"/>
  <c r="L212" i="2" s="1"/>
  <c r="J23" i="2"/>
  <c r="L23" i="2" s="1"/>
  <c r="I67" i="2"/>
  <c r="K67" i="2" s="1"/>
  <c r="J88" i="2"/>
  <c r="L88" i="2" s="1"/>
  <c r="I142" i="2"/>
  <c r="K142" i="2" s="1"/>
  <c r="M142" i="2" s="1"/>
  <c r="J190" i="2"/>
  <c r="L190" i="2" s="1"/>
  <c r="I45" i="2"/>
  <c r="K45" i="2" s="1"/>
  <c r="I140" i="2"/>
  <c r="K140" i="2" s="1"/>
  <c r="J18" i="2"/>
  <c r="L18" i="2" s="1"/>
  <c r="J12" i="2"/>
  <c r="L12" i="2" s="1"/>
  <c r="J227" i="2"/>
  <c r="L227" i="2" s="1"/>
  <c r="I36" i="2"/>
  <c r="K36" i="2" s="1"/>
  <c r="I101" i="2"/>
  <c r="K101" i="2" s="1"/>
  <c r="I223" i="2"/>
  <c r="K223" i="2" s="1"/>
  <c r="J78" i="2"/>
  <c r="L78" i="2" s="1"/>
  <c r="J152" i="2"/>
  <c r="L152" i="2" s="1"/>
  <c r="J76" i="2"/>
  <c r="L76" i="2" s="1"/>
  <c r="J149" i="2"/>
  <c r="L149" i="2" s="1"/>
  <c r="J73" i="2"/>
  <c r="L73" i="2" s="1"/>
  <c r="I147" i="2"/>
  <c r="K147" i="2" s="1"/>
  <c r="J215" i="2"/>
  <c r="L215" i="2" s="1"/>
  <c r="I26" i="2"/>
  <c r="K26" i="2" s="1"/>
  <c r="I88" i="2"/>
  <c r="K88" i="2" s="1"/>
  <c r="I212" i="2"/>
  <c r="K212" i="2" s="1"/>
  <c r="J68" i="2"/>
  <c r="L68" i="2" s="1"/>
  <c r="I190" i="2"/>
  <c r="K190" i="2" s="1"/>
  <c r="J66" i="2"/>
  <c r="L66" i="2" s="1"/>
  <c r="I18" i="2"/>
  <c r="K18" i="2" s="1"/>
  <c r="I137" i="2"/>
  <c r="K137" i="2" s="1"/>
  <c r="J38" i="2"/>
  <c r="L38" i="2" s="1"/>
  <c r="J225" i="2"/>
  <c r="L225" i="2" s="1"/>
  <c r="J97" i="2"/>
  <c r="L97" i="2" s="1"/>
  <c r="J32" i="2"/>
  <c r="L32" i="2" s="1"/>
  <c r="I149" i="2"/>
  <c r="K149" i="2" s="1"/>
  <c r="I40" i="2"/>
  <c r="K40" i="2" s="1"/>
  <c r="I183" i="2"/>
  <c r="K183" i="2" s="1"/>
  <c r="I68" i="2"/>
  <c r="K68" i="2" s="1"/>
  <c r="M68" i="2" s="1"/>
  <c r="J214" i="2"/>
  <c r="L214" i="2" s="1"/>
  <c r="J84" i="2"/>
  <c r="L84" i="2" s="1"/>
  <c r="J22" i="2"/>
  <c r="L22" i="2" s="1"/>
  <c r="I138" i="2"/>
  <c r="K138" i="2" s="1"/>
  <c r="M138" i="2" s="1"/>
  <c r="I11" i="2"/>
  <c r="J11" i="2"/>
  <c r="L11" i="2" s="1"/>
  <c r="M108" i="2" l="1"/>
  <c r="M45" i="2"/>
  <c r="M86" i="2"/>
  <c r="M244" i="2"/>
  <c r="O5" i="2"/>
  <c r="I163" i="2"/>
  <c r="K163" i="2" s="1"/>
  <c r="J163" i="2"/>
  <c r="L163" i="2" s="1"/>
  <c r="M198" i="2"/>
  <c r="M164" i="2"/>
  <c r="M242" i="2"/>
  <c r="M243" i="2"/>
  <c r="M178" i="2"/>
  <c r="M245" i="2"/>
  <c r="M149" i="2"/>
  <c r="M129" i="2"/>
  <c r="M233" i="2"/>
  <c r="M234" i="2"/>
  <c r="M119" i="2"/>
  <c r="M239" i="2"/>
  <c r="M241" i="2"/>
  <c r="M240" i="2"/>
  <c r="M236" i="2"/>
  <c r="M195" i="2"/>
  <c r="M196" i="2"/>
  <c r="M232" i="2"/>
  <c r="M238" i="2"/>
  <c r="M235" i="2"/>
  <c r="M174" i="2"/>
  <c r="M231" i="2"/>
  <c r="M237" i="2"/>
  <c r="M193" i="2"/>
  <c r="M207" i="2"/>
  <c r="M229" i="2"/>
  <c r="M202" i="2"/>
  <c r="M230" i="2"/>
  <c r="M162" i="2"/>
  <c r="M124" i="2"/>
  <c r="M175" i="2"/>
  <c r="M173" i="2"/>
  <c r="M204" i="2"/>
  <c r="M205" i="2"/>
  <c r="M199" i="2"/>
  <c r="M200" i="2"/>
  <c r="M208" i="2"/>
  <c r="M169" i="2"/>
  <c r="M203" i="2"/>
  <c r="M206" i="2"/>
  <c r="M194" i="2"/>
  <c r="M201" i="2"/>
  <c r="M197" i="2"/>
  <c r="M161" i="2"/>
  <c r="M172" i="2"/>
  <c r="M176" i="2"/>
  <c r="M177" i="2"/>
  <c r="M160" i="2"/>
  <c r="M165" i="2"/>
  <c r="M167" i="2"/>
  <c r="M170" i="2"/>
  <c r="M159" i="2"/>
  <c r="M166" i="2"/>
  <c r="M171" i="2"/>
  <c r="M105" i="2"/>
  <c r="M109" i="2"/>
  <c r="M123" i="2"/>
  <c r="M120" i="2"/>
  <c r="M113" i="2"/>
  <c r="M106" i="2"/>
  <c r="M127" i="2"/>
  <c r="M110" i="2"/>
  <c r="M103" i="2"/>
  <c r="M114" i="2"/>
  <c r="M130" i="2"/>
  <c r="M133" i="2"/>
  <c r="M126" i="2"/>
  <c r="M116" i="2"/>
  <c r="M115" i="2"/>
  <c r="M117" i="2"/>
  <c r="M122" i="2"/>
  <c r="M128" i="2"/>
  <c r="M131" i="2"/>
  <c r="M132" i="2"/>
  <c r="M121" i="2"/>
  <c r="M118" i="2"/>
  <c r="M125" i="2"/>
  <c r="M150" i="2"/>
  <c r="M30" i="5" s="1"/>
  <c r="F30" i="5" s="1"/>
  <c r="M42" i="2"/>
  <c r="M12" i="5" s="1"/>
  <c r="F12" i="5" s="1"/>
  <c r="M49" i="2"/>
  <c r="M58" i="2"/>
  <c r="M47" i="2"/>
  <c r="M77" i="2"/>
  <c r="M137" i="2"/>
  <c r="M50" i="2"/>
  <c r="M54" i="2"/>
  <c r="M56" i="2"/>
  <c r="M51" i="2"/>
  <c r="M53" i="2"/>
  <c r="M55" i="2"/>
  <c r="M61" i="2"/>
  <c r="M59" i="2"/>
  <c r="M88" i="2"/>
  <c r="M141" i="2"/>
  <c r="M96" i="2"/>
  <c r="M185" i="2"/>
  <c r="M94" i="2"/>
  <c r="M22" i="5" s="1"/>
  <c r="F22" i="5" s="1"/>
  <c r="M48" i="2"/>
  <c r="M60" i="2"/>
  <c r="M57" i="2"/>
  <c r="M62" i="2"/>
  <c r="M26" i="2"/>
  <c r="M223" i="2"/>
  <c r="M70" i="2"/>
  <c r="M52" i="2"/>
  <c r="M76" i="2"/>
  <c r="M38" i="2"/>
  <c r="M10" i="5" s="1"/>
  <c r="F10" i="5" s="1"/>
  <c r="M20" i="2"/>
  <c r="M87" i="2"/>
  <c r="M35" i="2"/>
  <c r="M212" i="2"/>
  <c r="M23" i="2"/>
  <c r="M186" i="2"/>
  <c r="M188" i="2"/>
  <c r="M38" i="5" s="1"/>
  <c r="F38" i="5" s="1"/>
  <c r="M22" i="2"/>
  <c r="M90" i="2"/>
  <c r="M97" i="2"/>
  <c r="M80" i="2"/>
  <c r="M183" i="2"/>
  <c r="M18" i="2"/>
  <c r="M147" i="2"/>
  <c r="M21" i="2"/>
  <c r="M32" i="2"/>
  <c r="M225" i="2"/>
  <c r="M46" i="5" s="1"/>
  <c r="F46" i="5" s="1"/>
  <c r="M101" i="2"/>
  <c r="M83" i="2"/>
  <c r="M25" i="2"/>
  <c r="M84" i="2"/>
  <c r="M214" i="2"/>
  <c r="M146" i="2"/>
  <c r="K11" i="2"/>
  <c r="M11" i="2" s="1"/>
  <c r="M40" i="2"/>
  <c r="M11" i="5" s="1"/>
  <c r="F11" i="5" s="1"/>
  <c r="M67" i="2"/>
  <c r="M216" i="2"/>
  <c r="M91" i="2"/>
  <c r="M227" i="2"/>
  <c r="M47" i="5" s="1"/>
  <c r="F47" i="5" s="1"/>
  <c r="M33" i="2"/>
  <c r="M74" i="2"/>
  <c r="M182" i="2"/>
  <c r="M152" i="2"/>
  <c r="M31" i="5" s="1"/>
  <c r="F31" i="5" s="1"/>
  <c r="M10" i="2"/>
  <c r="M92" i="2"/>
  <c r="M222" i="2"/>
  <c r="M78" i="2"/>
  <c r="M36" i="2"/>
  <c r="M27" i="2"/>
  <c r="M17" i="2"/>
  <c r="M154" i="2"/>
  <c r="M32" i="5" s="1"/>
  <c r="F32" i="5" s="1"/>
  <c r="M73" i="2"/>
  <c r="M28" i="2"/>
  <c r="M66" i="2"/>
  <c r="M81" i="2"/>
  <c r="M191" i="2"/>
  <c r="M29" i="2"/>
  <c r="M100" i="2"/>
  <c r="M12" i="2"/>
  <c r="M190" i="2"/>
  <c r="M140" i="2"/>
  <c r="M44" i="2"/>
  <c r="M13" i="5" s="1"/>
  <c r="F13" i="5" s="1"/>
  <c r="M218" i="2"/>
  <c r="M72" i="2"/>
  <c r="M156" i="2"/>
  <c r="M33" i="5" s="1"/>
  <c r="F33" i="5" s="1"/>
  <c r="M143" i="2"/>
  <c r="M215" i="2"/>
  <c r="M71" i="2"/>
  <c r="M219" i="2"/>
  <c r="M13" i="2"/>
  <c r="E10" i="5" l="1"/>
  <c r="G12" i="5"/>
  <c r="D38" i="5"/>
  <c r="M20" i="5"/>
  <c r="F20" i="5" s="1"/>
  <c r="M39" i="5"/>
  <c r="F39" i="5" s="1"/>
  <c r="M64" i="2"/>
  <c r="M210" i="2"/>
  <c r="M27" i="5"/>
  <c r="F27" i="5" s="1"/>
  <c r="M15" i="2"/>
  <c r="M180" i="2"/>
  <c r="M163" i="2"/>
  <c r="M135" i="2" s="1"/>
  <c r="M42" i="5"/>
  <c r="F42" i="5" s="1"/>
  <c r="E12" i="5"/>
  <c r="D12" i="5"/>
  <c r="M24" i="5"/>
  <c r="F24" i="5" s="1"/>
  <c r="M45" i="5"/>
  <c r="F45" i="5" s="1"/>
  <c r="M9" i="5"/>
  <c r="F9" i="5" s="1"/>
  <c r="M23" i="5"/>
  <c r="F23" i="5" s="1"/>
  <c r="M37" i="5"/>
  <c r="F37" i="5" s="1"/>
  <c r="M8" i="5"/>
  <c r="F8" i="5" s="1"/>
  <c r="M19" i="5"/>
  <c r="F19" i="5" s="1"/>
  <c r="M17" i="5"/>
  <c r="F17" i="5" s="1"/>
  <c r="D10" i="5"/>
  <c r="G10" i="5"/>
  <c r="M18" i="5"/>
  <c r="F18" i="5" s="1"/>
  <c r="E38" i="5"/>
  <c r="M29" i="5"/>
  <c r="F29" i="5" s="1"/>
  <c r="M6" i="5"/>
  <c r="F6" i="5" s="1"/>
  <c r="G38" i="5"/>
  <c r="M21" i="5"/>
  <c r="F21" i="5" s="1"/>
  <c r="G31" i="5"/>
  <c r="D31" i="5"/>
  <c r="E31" i="5"/>
  <c r="D39" i="5"/>
  <c r="G32" i="5"/>
  <c r="D32" i="5"/>
  <c r="E32" i="5"/>
  <c r="M36" i="5"/>
  <c r="F36" i="5" s="1"/>
  <c r="M9" i="2"/>
  <c r="M44" i="5"/>
  <c r="F44" i="5" s="1"/>
  <c r="D30" i="5"/>
  <c r="G30" i="5"/>
  <c r="E30" i="5"/>
  <c r="M7" i="5"/>
  <c r="F7" i="5" s="1"/>
  <c r="G11" i="5"/>
  <c r="D11" i="5"/>
  <c r="E11" i="5"/>
  <c r="E13" i="5"/>
  <c r="G13" i="5"/>
  <c r="D13" i="5"/>
  <c r="M5" i="5"/>
  <c r="F5" i="5" s="1"/>
  <c r="G47" i="5"/>
  <c r="E47" i="5"/>
  <c r="D47" i="5"/>
  <c r="M43" i="5"/>
  <c r="F43" i="5" s="1"/>
  <c r="M28" i="5"/>
  <c r="F28" i="5" s="1"/>
  <c r="E46" i="5"/>
  <c r="G46" i="5"/>
  <c r="D46" i="5"/>
  <c r="D20" i="5"/>
  <c r="G20" i="5"/>
  <c r="E20" i="5"/>
  <c r="G33" i="5"/>
  <c r="D33" i="5"/>
  <c r="E33" i="5"/>
  <c r="D22" i="5"/>
  <c r="E22" i="5"/>
  <c r="G22" i="5"/>
  <c r="E27" i="5"/>
  <c r="M16" i="5"/>
  <c r="F16" i="5" s="1"/>
  <c r="G8" i="5" l="1"/>
  <c r="G18" i="5"/>
  <c r="G19" i="5"/>
  <c r="E9" i="5"/>
  <c r="G39" i="5"/>
  <c r="E45" i="5"/>
  <c r="D42" i="5"/>
  <c r="D27" i="5"/>
  <c r="E6" i="5"/>
  <c r="G29" i="5"/>
  <c r="G37" i="5"/>
  <c r="D24" i="5"/>
  <c r="D21" i="5"/>
  <c r="E17" i="5"/>
  <c r="D23" i="5"/>
  <c r="G27" i="5"/>
  <c r="E39" i="5"/>
  <c r="M247" i="2"/>
  <c r="N5" i="2" s="1"/>
  <c r="N163" i="2" s="1"/>
  <c r="E42" i="5"/>
  <c r="G42" i="5"/>
  <c r="G24" i="5"/>
  <c r="E24" i="5"/>
  <c r="D45" i="5"/>
  <c r="G45" i="5"/>
  <c r="D9" i="5"/>
  <c r="D37" i="5"/>
  <c r="E37" i="5"/>
  <c r="G9" i="5"/>
  <c r="E8" i="5"/>
  <c r="D19" i="5"/>
  <c r="E23" i="5"/>
  <c r="G17" i="5"/>
  <c r="G23" i="5"/>
  <c r="E19" i="5"/>
  <c r="D8" i="5"/>
  <c r="D17" i="5"/>
  <c r="D18" i="5"/>
  <c r="E21" i="5"/>
  <c r="E18" i="5"/>
  <c r="E29" i="5"/>
  <c r="D29" i="5"/>
  <c r="G6" i="5"/>
  <c r="G21" i="5"/>
  <c r="D6" i="5"/>
  <c r="E16" i="5"/>
  <c r="G16" i="5"/>
  <c r="D16" i="5"/>
  <c r="G5" i="5"/>
  <c r="E5" i="5"/>
  <c r="D5" i="5"/>
  <c r="G7" i="5"/>
  <c r="D7" i="5"/>
  <c r="E7" i="5"/>
  <c r="M2" i="5"/>
  <c r="F2" i="5" s="1"/>
  <c r="E28" i="5"/>
  <c r="D28" i="5"/>
  <c r="G28" i="5"/>
  <c r="G36" i="5"/>
  <c r="D36" i="5"/>
  <c r="E36" i="5"/>
  <c r="G43" i="5"/>
  <c r="D43" i="5"/>
  <c r="E43" i="5"/>
  <c r="O6" i="2"/>
  <c r="E44" i="5"/>
  <c r="G44" i="5"/>
  <c r="D44" i="5"/>
  <c r="G35" i="5" l="1"/>
  <c r="D2" i="5"/>
  <c r="G26" i="5"/>
  <c r="N178" i="2"/>
  <c r="N164" i="2"/>
  <c r="N245" i="2"/>
  <c r="N244" i="2"/>
  <c r="N243" i="2"/>
  <c r="N242" i="2"/>
  <c r="N234" i="2"/>
  <c r="N241" i="2"/>
  <c r="N231" i="2"/>
  <c r="N236" i="2"/>
  <c r="N232" i="2"/>
  <c r="N238" i="2"/>
  <c r="N239" i="2"/>
  <c r="N237" i="2"/>
  <c r="N233" i="2"/>
  <c r="N235" i="2"/>
  <c r="N240" i="2"/>
  <c r="N229" i="2"/>
  <c r="N230" i="2"/>
  <c r="N208" i="2"/>
  <c r="N207" i="2"/>
  <c r="N203" i="2"/>
  <c r="N204" i="2"/>
  <c r="N206" i="2"/>
  <c r="N205" i="2"/>
  <c r="N201" i="2"/>
  <c r="N202" i="2"/>
  <c r="N199" i="2"/>
  <c r="N198" i="2"/>
  <c r="N200" i="2"/>
  <c r="N197" i="2"/>
  <c r="N195" i="2"/>
  <c r="N196" i="2"/>
  <c r="N194" i="2"/>
  <c r="N193" i="2"/>
  <c r="N176" i="2"/>
  <c r="N177" i="2"/>
  <c r="N174" i="2"/>
  <c r="N175" i="2"/>
  <c r="N171" i="2"/>
  <c r="N173" i="2"/>
  <c r="N172" i="2"/>
  <c r="N169" i="2"/>
  <c r="N170" i="2"/>
  <c r="N167" i="2"/>
  <c r="N168" i="2"/>
  <c r="N165" i="2"/>
  <c r="N166" i="2"/>
  <c r="N162" i="2"/>
  <c r="N161" i="2"/>
  <c r="N159" i="2"/>
  <c r="N160" i="2"/>
  <c r="N103" i="2"/>
  <c r="N132" i="2"/>
  <c r="N118" i="2"/>
  <c r="N133" i="2"/>
  <c r="N116" i="2"/>
  <c r="N113" i="2"/>
  <c r="N130" i="2"/>
  <c r="N112" i="2"/>
  <c r="N124" i="2"/>
  <c r="N128" i="2"/>
  <c r="N114" i="2"/>
  <c r="N120" i="2"/>
  <c r="N110" i="2"/>
  <c r="N129" i="2"/>
  <c r="N115" i="2"/>
  <c r="N126" i="2"/>
  <c r="N109" i="2"/>
  <c r="N127" i="2"/>
  <c r="N111" i="2"/>
  <c r="N123" i="2"/>
  <c r="N108" i="2"/>
  <c r="N125" i="2"/>
  <c r="N122" i="2"/>
  <c r="N107" i="2"/>
  <c r="N119" i="2"/>
  <c r="N104" i="2"/>
  <c r="N117" i="2"/>
  <c r="N131" i="2"/>
  <c r="N121" i="2"/>
  <c r="N106" i="2"/>
  <c r="N105" i="2"/>
  <c r="N62" i="2"/>
  <c r="N61" i="2"/>
  <c r="N54" i="2"/>
  <c r="N55" i="2"/>
  <c r="N47" i="2"/>
  <c r="N49" i="2"/>
  <c r="N60" i="2"/>
  <c r="N48" i="2"/>
  <c r="N53" i="2"/>
  <c r="N51" i="2"/>
  <c r="N57" i="2"/>
  <c r="N50" i="2"/>
  <c r="N59" i="2"/>
  <c r="N56" i="2"/>
  <c r="N58" i="2"/>
  <c r="N52" i="2"/>
  <c r="G15" i="5"/>
  <c r="G41" i="5"/>
  <c r="G2" i="5"/>
  <c r="E2" i="5"/>
  <c r="G4" i="5"/>
  <c r="N223" i="2"/>
  <c r="N74" i="2"/>
  <c r="N83" i="2"/>
  <c r="N225" i="2"/>
  <c r="N67" i="2"/>
  <c r="N38" i="2"/>
  <c r="N97" i="2"/>
  <c r="N183" i="2"/>
  <c r="N28" i="2"/>
  <c r="N185" i="2"/>
  <c r="N156" i="2"/>
  <c r="N152" i="2"/>
  <c r="N68" i="2"/>
  <c r="N80" i="2"/>
  <c r="N137" i="2"/>
  <c r="N10" i="2"/>
  <c r="N186" i="2"/>
  <c r="N18" i="2"/>
  <c r="N182" i="2"/>
  <c r="N11" i="2"/>
  <c r="N88" i="2"/>
  <c r="N87" i="2"/>
  <c r="N142" i="2"/>
  <c r="N99" i="2"/>
  <c r="N146" i="2"/>
  <c r="N33" i="2"/>
  <c r="N143" i="2"/>
  <c r="N157" i="2"/>
  <c r="N91" i="2"/>
  <c r="N25" i="2"/>
  <c r="N81" i="2"/>
  <c r="N140" i="2"/>
  <c r="N154" i="2"/>
  <c r="N212" i="2"/>
  <c r="N188" i="2"/>
  <c r="N96" i="2"/>
  <c r="N94" i="2"/>
  <c r="N90" i="2"/>
  <c r="N45" i="2"/>
  <c r="N215" i="2"/>
  <c r="N79" i="2"/>
  <c r="N23" i="2"/>
  <c r="N26" i="2"/>
  <c r="N17" i="2"/>
  <c r="N44" i="2"/>
  <c r="N100" i="2"/>
  <c r="N84" i="2"/>
  <c r="N13" i="2"/>
  <c r="N77" i="2"/>
  <c r="N145" i="2"/>
  <c r="N78" i="2"/>
  <c r="N222" i="2"/>
  <c r="N219" i="2"/>
  <c r="N190" i="2"/>
  <c r="N227" i="2"/>
  <c r="N220" i="2"/>
  <c r="N40" i="2"/>
  <c r="N191" i="2"/>
  <c r="N73" i="2"/>
  <c r="N72" i="2"/>
  <c r="N36" i="2"/>
  <c r="N42" i="2"/>
  <c r="N32" i="2"/>
  <c r="N92" i="2"/>
  <c r="N70" i="2"/>
  <c r="N150" i="2"/>
  <c r="N35" i="2"/>
  <c r="N27" i="2"/>
  <c r="N20" i="2"/>
  <c r="N12" i="2"/>
  <c r="N214" i="2"/>
  <c r="N138" i="2"/>
  <c r="N71" i="2"/>
  <c r="N101" i="2"/>
  <c r="N29" i="2"/>
  <c r="N66" i="2"/>
  <c r="N30" i="2"/>
  <c r="N147" i="2"/>
  <c r="N21" i="2"/>
  <c r="N141" i="2"/>
  <c r="N76" i="2"/>
  <c r="N218" i="2"/>
  <c r="N216" i="2"/>
  <c r="N22" i="2"/>
  <c r="N86" i="2"/>
  <c r="N149" i="2"/>
  <c r="N135" i="2" l="1"/>
  <c r="N64" i="2"/>
  <c r="N210" i="2"/>
  <c r="N15" i="2"/>
  <c r="N180" i="2"/>
  <c r="N9" i="2"/>
  <c r="N247" i="2" l="1"/>
</calcChain>
</file>

<file path=xl/sharedStrings.xml><?xml version="1.0" encoding="utf-8"?>
<sst xmlns="http://schemas.openxmlformats.org/spreadsheetml/2006/main" count="2798" uniqueCount="868">
  <si>
    <t>mês</t>
  </si>
  <si>
    <t>BDI:</t>
  </si>
  <si>
    <t>Composição do BDI</t>
  </si>
  <si>
    <t>Total Geral:</t>
  </si>
  <si>
    <t>Local:</t>
  </si>
  <si>
    <t xml:space="preserve">Hospital de Clínicas de Porto Alegre </t>
  </si>
  <si>
    <t xml:space="preserve">Endereço: </t>
  </si>
  <si>
    <t>Rua Ramiro Barcelos, 2350 - Porto Alegre / RS</t>
  </si>
  <si>
    <t xml:space="preserve">ENCARGOS SOCIAIS (Horistas): </t>
  </si>
  <si>
    <t xml:space="preserve">ENCARGOS SOCIAIS (Mensalistas): </t>
  </si>
  <si>
    <t>Item</t>
  </si>
  <si>
    <t>Referência</t>
  </si>
  <si>
    <t>Código</t>
  </si>
  <si>
    <t>Descrição</t>
  </si>
  <si>
    <t>Unidade</t>
  </si>
  <si>
    <t>Quantidade</t>
  </si>
  <si>
    <t>Custo Unitário Material</t>
  </si>
  <si>
    <t>Custo Unitário Mão de Obra</t>
  </si>
  <si>
    <t>Valor Unitário Material com BDI</t>
  </si>
  <si>
    <t>Valor Unitário Mão de Obra com BDI</t>
  </si>
  <si>
    <t>Valor Total Material com BDI</t>
  </si>
  <si>
    <t>Valor Total Mão de Obra com BDI</t>
  </si>
  <si>
    <t>Preço Total com BDI</t>
  </si>
  <si>
    <t>%</t>
  </si>
  <si>
    <t>BDI Equipamentos (*):</t>
  </si>
  <si>
    <t>Cálculo:</t>
  </si>
  <si>
    <t>I. Fórmula adotada:</t>
  </si>
  <si>
    <t>BDI ={[(1+(AC+R+S+G))*(1+DF)*(1+L)] / (1-T)}-1</t>
  </si>
  <si>
    <t>II. Parcelas constituintes da fórmula e respectivos valores</t>
  </si>
  <si>
    <t>Administração Central</t>
  </si>
  <si>
    <t>SINAPI</t>
  </si>
  <si>
    <t>AC</t>
  </si>
  <si>
    <t>Riscos</t>
  </si>
  <si>
    <t>R</t>
  </si>
  <si>
    <t>Seguros + Garantias</t>
  </si>
  <si>
    <t>S+G</t>
  </si>
  <si>
    <t>Despesas Financeiras</t>
  </si>
  <si>
    <t>DF</t>
  </si>
  <si>
    <t>Lucro</t>
  </si>
  <si>
    <t>L</t>
  </si>
  <si>
    <t>Tributos</t>
  </si>
  <si>
    <t>T</t>
  </si>
  <si>
    <t>III. Tributos (T) - Memória de Cálculo</t>
  </si>
  <si>
    <t>ISSQN*</t>
  </si>
  <si>
    <t>unid</t>
  </si>
  <si>
    <t>PIS</t>
  </si>
  <si>
    <t>COFINS</t>
  </si>
  <si>
    <t>CPRB**</t>
  </si>
  <si>
    <t>* Conforme legislação tributária municipal (LC nº 07/1973), a aliquota aplicada na construção civil, itens 7.02, 7.04 e 7.05, é de 4%. Adota-se ainda que o ISSQN incide somente sobre o valor da mão de obra, estimado em 1/3 do valor total da obra.</t>
  </si>
  <si>
    <t>** Conforme Lei nº 13.202/2015.</t>
  </si>
  <si>
    <t>Onde:</t>
  </si>
  <si>
    <t xml:space="preserve">     ISSQN: imposto sobre serviço de qualquer natureza</t>
  </si>
  <si>
    <t xml:space="preserve">     PIS: programa de integração social</t>
  </si>
  <si>
    <t xml:space="preserve">     COFINS: contribuição para o financiamento da seguridade social</t>
  </si>
  <si>
    <t xml:space="preserve">     CPRB: contribuição previdenciária sobre a receita bruta (com desoneração)</t>
  </si>
  <si>
    <t xml:space="preserve">     T: tributos</t>
  </si>
  <si>
    <t>OBS. 01: A parcela relativa ao lucro não incorporará o repasse das inciências dos impostos IRPJ (Imposto de Renda da Pessoa Jurídica) e CSLL (Contribuição Social sobre o Lucro Líquido), visto que, conforme entendimento firmado pelo Tribunal de Contas da União (Acórdão TCU 1595/2006 - Plenário e Acórdão TCU 950/2007 - Plenário), são tributos personalíssimos, de ônus exclusivo da proponente, os quais não devem ser repassados ao Contratante.</t>
  </si>
  <si>
    <t>OBS. 02: O cálculo do BDI foi baseado nas orientações constantes no Acórdão nº 2622/2013 do TCU - Plenário.</t>
  </si>
  <si>
    <t>MERCADO</t>
  </si>
  <si>
    <t>CREA-RS</t>
  </si>
  <si>
    <t>ENGENHEIRO CIVIL DE OBRA PLENO COM ENCARGOS COMPLEMENTARES</t>
  </si>
  <si>
    <t>ART DE EXECUÇÃO</t>
  </si>
  <si>
    <t>Serviço:</t>
  </si>
  <si>
    <t>CANTEIRO DE OBRAS E ADMINISTRAÇÃO</t>
  </si>
  <si>
    <t>PLANILHA ORÇAMENTÁRIA ANALÍTICA DE CUSTOS</t>
  </si>
  <si>
    <t>ENCARGOS SOCIAIS (horista):</t>
  </si>
  <si>
    <t>ENCARGOS SOCIAIS (mensalista):</t>
  </si>
  <si>
    <r>
      <rPr>
        <b/>
        <sz val="10"/>
        <rFont val="Calibri"/>
        <family val="2"/>
      </rPr>
      <t>Proprietário:</t>
    </r>
    <r>
      <rPr>
        <sz val="10"/>
        <rFont val="Calibri"/>
        <family val="2"/>
      </rPr>
      <t xml:space="preserve"> Hospital de Clínicas de Porto Alegre</t>
    </r>
  </si>
  <si>
    <r>
      <rPr>
        <b/>
        <sz val="10"/>
        <rFont val="Calibri"/>
        <family val="2"/>
      </rPr>
      <t>Endereço:</t>
    </r>
    <r>
      <rPr>
        <sz val="10"/>
        <rFont val="Calibri"/>
        <family val="2"/>
      </rPr>
      <t xml:space="preserve"> Rua Ramiro Barcellos, 2350 - Porto Alegre/RS</t>
    </r>
  </si>
  <si>
    <t>DATA BASE:</t>
  </si>
  <si>
    <t>PREÇO ORÇADO</t>
  </si>
  <si>
    <t>m2</t>
  </si>
  <si>
    <t>MESTRE DE OBRAS COM ENCARGOS COMPLEMENTARES</t>
  </si>
  <si>
    <t>LOCACAO DE CONTAINER 2,30 X 6,00 M, ALT. 2,50 M, COM 1 SANITARIO, PARA ESCRITORIO, COMPLETO, SEM DIVISORIAS INTERNAS</t>
  </si>
  <si>
    <t>LOCACAO DE ANDAIME METALICO TUBULAR DE ENCAIXE, TIPO DE TORRE, COM LARGURA DE 1 ATE 1,5 M E ALTURA DE *1,00* M</t>
  </si>
  <si>
    <t>m</t>
  </si>
  <si>
    <t>APLICAÇÃO MANUAL DE PINTURA COM TINTA LÁTEX ACRÍLICA EM TETO, DUAS DEMÃOS. AF_06/2014</t>
  </si>
  <si>
    <t>APLICAÇÃO E LIXAMENTO DE MASSA LÁTEX EM TETO, DUAS DEMÃOS. AF_06/2014</t>
  </si>
  <si>
    <t>APLICAÇÃO E LIXAMENTO DE MASSA LÁTEX EM PAREDES, DUAS DEMÃOS. AF_06/2014</t>
  </si>
  <si>
    <t>APLICAÇÃO DE FUNDO SELADOR ACRÍLICO EM TETO, UMA DEMÃO. AF_06/2014</t>
  </si>
  <si>
    <t>APLICAÇÃO DE FUNDO SELADOR ACRÍLICO EM PAREDES, UMA DEMÃO. AF_06/2014</t>
  </si>
  <si>
    <t>APLICAÇÃO MANUAL DE PINTURA COM TINTA LÁTEX ACRÍLICA EM PAREDES, DUAS DEMÃOS. AF_06/2014</t>
  </si>
  <si>
    <t>h</t>
  </si>
  <si>
    <t>Prazo:</t>
  </si>
  <si>
    <t>kg</t>
  </si>
  <si>
    <t>Total Geral da Obra - Adequações CPE (R$)</t>
  </si>
  <si>
    <t>01.00</t>
  </si>
  <si>
    <t>Competência</t>
  </si>
  <si>
    <t>Consultório simulado</t>
  </si>
  <si>
    <t>area de simulação</t>
  </si>
  <si>
    <t>sede</t>
  </si>
  <si>
    <t>reanimação</t>
  </si>
  <si>
    <t>Professor aluno</t>
  </si>
  <si>
    <t>x</t>
  </si>
  <si>
    <t>ADMINISTRAÇÃO LOCAL</t>
  </si>
  <si>
    <t>ENGENHEIRO CIVIL DE OBRA JUNIOR COM ENCARGOS COMPLEMENTARES</t>
  </si>
  <si>
    <t>ENCARREGADO GERAL COM ENCARGOS COMPLEMENTARES</t>
  </si>
  <si>
    <t>GESSEIRO COM ENCARGOS COMPLEMENTARES</t>
  </si>
  <si>
    <t>PINTOR COM ENCARGOS COMPLEMENTARES</t>
  </si>
  <si>
    <t>DEMOLIÇÕES/RETIRADAS</t>
  </si>
  <si>
    <t>DEMOLIÇÕES DE CONCRETO</t>
  </si>
  <si>
    <t>RETIRADA DE DIVISORIAS COM MONTANTES METALICOS</t>
  </si>
  <si>
    <t>REMOÇÕES</t>
  </si>
  <si>
    <t>REMOÇÃO DE TAPUME/ CHAPAS METÁLICAS E DE MADEIRA, DE FORMA MANUAL, SEM REAPROVEITAMENTO. AF_12/2017</t>
  </si>
  <si>
    <t>M2</t>
  </si>
  <si>
    <t>REMOÇÃO DE PORTAS, DE FORMA MANUAL, SEM REAPROVEITAMENTO. AF_12/2017</t>
  </si>
  <si>
    <t>REMOÇÃO DE JANELAS, DE FORMA MANUAL, SEM REAPROVEITAMENTO. AF_12/2017</t>
  </si>
  <si>
    <t>REMOÇÃO DE FORROS DE DRYWALL, PVC E FIBROMINERAL, DE FORMA MANUAL, SEM REAPROVEITAMENTO. AF_12/2017</t>
  </si>
  <si>
    <t>HCPA_09</t>
  </si>
  <si>
    <t>REMOÇÃO DE PISO VINILICO EM GERAL - SEM REAPROVEITAMENTO</t>
  </si>
  <si>
    <t>SERVIÇOS DE GESSO</t>
  </si>
  <si>
    <t>REMOÇÃO DE FORRO DE GESSO, DE FORMA MANUAL, SEM REAPROVEITAMENTO. AF_12/2017</t>
  </si>
  <si>
    <t>PAREDE COM PLACAS DE GESSO ACARTONADO (DRYWALL), E=10cm, PARA USO INTERNO, COM DUAS FACES SIMPLES E ESTRUTURA METÁLICA COM GUIAS SIMPLES, SEM VÃOS. AF_06/2017_P</t>
  </si>
  <si>
    <t>PAREDE COM PLACAS DE GESSO ACARTONADO (DRYWALL), E=10cm, PARA USO INTERNO, COM DUAS FACES SIMPLES E ESTRUTURA METÁLICA COM GUIAS SIMPLES, COM VÃOS AF_06/2017_P</t>
  </si>
  <si>
    <t>FORRO EM PLACAS DE GESSO, PARA AMBIENTES COMERCIAIS. AF_05/2017_P</t>
  </si>
  <si>
    <t>FORRO EM DRYWALL, PARA AMBIENTES COMERCIAIS, INCLUSIVE ESTRUTURA DE FIXAÇÃO. AF_05/2017_P</t>
  </si>
  <si>
    <t>HCPA_03</t>
  </si>
  <si>
    <r>
      <t xml:space="preserve">FORRO EM DRYWALL, </t>
    </r>
    <r>
      <rPr>
        <b/>
        <sz val="8"/>
        <rFont val="Calibri"/>
        <family val="2"/>
      </rPr>
      <t>RESISTENTE A UMIDADE</t>
    </r>
    <r>
      <rPr>
        <sz val="8"/>
        <rFont val="Calibri"/>
        <family val="2"/>
      </rPr>
      <t>, PARA AMBIENTES COMERCIAIS, INCLUSIVE ESTRUTURA DE FIXAÇÃO</t>
    </r>
  </si>
  <si>
    <t>HCPA_04</t>
  </si>
  <si>
    <r>
      <t xml:space="preserve">FORRO EM DRYWALL, </t>
    </r>
    <r>
      <rPr>
        <b/>
        <sz val="8"/>
        <rFont val="Calibri"/>
        <family val="2"/>
      </rPr>
      <t>RESISTENTE AO FOGO</t>
    </r>
    <r>
      <rPr>
        <sz val="8"/>
        <rFont val="Calibri"/>
        <family val="2"/>
      </rPr>
      <t>, PARA AMBIENTES COMERCIAIS, INCLUSIVE ESTRUTURA DE FIXAÇÃO</t>
    </r>
  </si>
  <si>
    <t>ACABAMENTOS PARA FORRO (MOLDURA DE GESSO). AF_05/2017</t>
  </si>
  <si>
    <t>ACABAMENTOS PARA FORRO (MOLDURA EM DRYWALL, COM LARGURA DE 15 CM). AF_05/2017_P</t>
  </si>
  <si>
    <t>ACABAMENTOS PARA FORRO (SANCA DE GESSO MONTADA NA OBRA). AF_05/2017_P</t>
  </si>
  <si>
    <t>FORNECIMENTO E INSTALAÇÃO DE PLACAS DE GESSO ACARTONADO, STANDARD (ST), COR BRANCA, E=12,5MM</t>
  </si>
  <si>
    <t>INSTALAÇÃO DE ISOLAMENTO COM LÃ DE ROCHA EM PAREDES DRYWALL. AF_06/2017</t>
  </si>
  <si>
    <t>INSTALAÇÃO DE REFORÇO METÁLICO EM PAREDE DRYWALL. AF_06/2017</t>
  </si>
  <si>
    <t>INSTALAÇÃO DE REFORÇO DE MADEIRA EM PAREDE DRYWALL. AF_06/2017</t>
  </si>
  <si>
    <t>74073/001</t>
  </si>
  <si>
    <t>ALCAPAO EM FERRO 60X60CM, INCLUSO FERRAGENS</t>
  </si>
  <si>
    <t>ALCAPAO EM COMPENSADO DE MADEIRA CEDRO/VIROLA, 60X60X2CM, COM MARCO 7X3CM, ALIZAR DE 2A, DOBRADICAS EM LATAO CROMADO E TARJETA CROMADA</t>
  </si>
  <si>
    <t>FITA DE PAPEL REFORCADA COM LAMINA DE METAL PARA REFORCO DE CANTOS DE CHAPA DE GESSO PARA DRYWALL</t>
  </si>
  <si>
    <t>FITA DE PAPEL MICROPERFURADO, 50 X 150 MM, PARA TRATAMENTO DE JUNTAS DE CHAPA DE GESSO PARA DRYWALL</t>
  </si>
  <si>
    <t>MASSA DE REJUNTE EM PO PARA DRYWALL, A BASE DE GESSO, SECAGEM RAPIDA, PARA TRATAMENTO DE JUNTAS DE CHAPA DE GESSO (COM ADICAO DE AGUA)</t>
  </si>
  <si>
    <t>RODAPÉ EM POLIESTIRENO, ALTURA 5 CM. AF_06/2018</t>
  </si>
  <si>
    <t>SERVIÇOS DE PINTURA</t>
  </si>
  <si>
    <t>FORNECIMENTO/INSTALACAO LONA PLASTICA PRETA, PARA IMPERMEABILIZACAO, ESPESSURA 150 MICRAS.</t>
  </si>
  <si>
    <t>FITA CREPE ROLO DE 25 MM X 50 M</t>
  </si>
  <si>
    <t>MASSA ÚNICA, PARA RECEBIMENTO DE PINTURA, EM ARGAMASSA TRAÇO 1:2:8, PREPARO MANUAL, APLICADA MANUALMENTE EM FACES INTERNAS DE PAREDES, ESPESSURA DE 20MM, COM EXECUÇÃO DE TALISCAS. AF_06/2014</t>
  </si>
  <si>
    <t>APLICAÇÃO MANUAL DE MASSA ACRÍLICA EM PANOS DE FACHADA COM PRESENÇA DE VÃOS, DE EDIFÍCIOS DE MÚLTIPLOS PAVIMENTOS, DUAS DEMÃOS. AF_05/2017</t>
  </si>
  <si>
    <t>APLICAÇÃO MANUAL DE MASSA ACRÍLICA EM PAREDES EXTERNAS DE CASAS, DUAS DEMÃOS. AF_05/2017</t>
  </si>
  <si>
    <t>APLICAÇÃO DE FUNDO SELADOR LÁTEX PVA EM TETO, UMA DEMÃO. AF_06/2014</t>
  </si>
  <si>
    <t xml:space="preserve"> 74064/001 </t>
  </si>
  <si>
    <t>FUNDO ANTICORROSIVO A BASE DE OXIDO DE FERRO (ZARCAO), DUAS DEMAOS</t>
  </si>
  <si>
    <t>APLICAÇÃO MANUAL DE PINTURA COM TINTA LÁTEX PVA EM TETO, DUAS DEMÃOS. AF_06/2014</t>
  </si>
  <si>
    <t xml:space="preserve"> 74065/002 </t>
  </si>
  <si>
    <t>PINTURA ESMALTE ACETINADO PARA MADEIRA, DUAS DEMAOS, SOBRE FUNDO NIVELADOR BRANCO</t>
  </si>
  <si>
    <t>74065/003</t>
  </si>
  <si>
    <t>PINTURA ESMALTE BRILHANTE PARA MADEIRA, DUAS DEMAOS, SOBRE FUNDO NIVELADOR BRANCO</t>
  </si>
  <si>
    <t>APLICAÇÃO MANUAL DE PINTURA COM TINTA TEXTURIZADA ACRÍLICA EM PAREDES EXTERNAS DE CASAS, UMA COR. AF_06/2014</t>
  </si>
  <si>
    <t>73924/001</t>
  </si>
  <si>
    <t>PINTURA ESMALTE ALTO BRILHO, DUAS DEMAOS, SOBRE SUPERFICIE METALICA</t>
  </si>
  <si>
    <t xml:space="preserve"> 73924/002 </t>
  </si>
  <si>
    <t>PINTURA ESMALTE ACETINADO, DUAS DEMAOS, SOBRE SUPERFICIE METALICA</t>
  </si>
  <si>
    <t>PINTURA COM VERNIZ POLIURETANO, 2 DEMAOS</t>
  </si>
  <si>
    <t>PINTURA EPOXI, DUAS DEMAOS</t>
  </si>
  <si>
    <t xml:space="preserve"> 73872/002 </t>
  </si>
  <si>
    <t>IMPERMEABILIZACAO COM PINTURA A BASE DE RESINA EPOXI ALCATRAO, DUAS DEMAOS</t>
  </si>
  <si>
    <t>ANDAIMES E PROTEÇÕES</t>
  </si>
  <si>
    <t xml:space="preserve"> 74220/001 </t>
  </si>
  <si>
    <t>TAPUME DE CHAPA DE MADEIRA COMPENSADA, E= 6MM, COM PINTURA A CAL E REAPROVEITAMENTO DE 2X</t>
  </si>
  <si>
    <t>m/mês</t>
  </si>
  <si>
    <t>MONTAGEM E DESMONTAGEM DE ANDAIME TUBULAR TIPO TORRE (EXCLUSIVE ANDAIME LIMPEZA). AF_11/2017</t>
  </si>
  <si>
    <t>LIMPEZA</t>
  </si>
  <si>
    <t>LIMPEZA DE PISO CERÂMICO OU PORCELANATO COM VASSOURA A SECO. AF_04/2019</t>
  </si>
  <si>
    <t>LIMPEZA DE PISO CERÂMICO OU PORCELANATO COM PANO ÚMIDO. AF_04/2019</t>
  </si>
  <si>
    <t>LIMPEZA DE CONTRAPISO COM VASSOURA A SECO. AF_04/2019</t>
  </si>
  <si>
    <t>TRANSPORTE HORIZONTAL, MASSA/GRANEL, JERICA 90L, 50M. AF_06/2014</t>
  </si>
  <si>
    <t>m3</t>
  </si>
  <si>
    <t xml:space="preserve">ESQUADRIAS </t>
  </si>
  <si>
    <t>Visores</t>
  </si>
  <si>
    <t xml:space="preserve">V 1 -  Visor dim 1.00x1.20m, com Vidro 3+3, quadro em perfil "U" na cor branca. </t>
  </si>
  <si>
    <t xml:space="preserve">un </t>
  </si>
  <si>
    <t xml:space="preserve">V 1' -  Visor dim 2,20x1.20m, com Vidro 3+3, quadro em perfil "U" na cor branca. </t>
  </si>
  <si>
    <t xml:space="preserve">V 2 -  Visor dim 3,18x1,00m, com Vidro 3+3, quadro em perfil "U" na cor branca. </t>
  </si>
  <si>
    <t>Aplicação de película tipo espelho unidirecional</t>
  </si>
  <si>
    <t>Portas</t>
  </si>
  <si>
    <t>PM - 1' - 0,82x2,10m - Porta semi-oca,  com visor em vidro incolor 4mm dim 50x80cm, emcabeçada, revestida em Ambos Os Lados Com Laminado Fita De Borda Em Pvc Nos 4 Topos Da Porta, Na Mesma Cor Do Laminado;
Alavanca Com Acabamento Cromado- Marco Em Cedrinho, Cerne Ou Lenheiro, Seco, Rebaixado, Com Moldura Interna E
Emassamento+Fundo Com Tinta Esmalte</t>
  </si>
  <si>
    <t>PM - 2 - 1,02x2,10m - Porta semi-oca, emcabeçada, revestida em Ambos Os Lados Com Laminado Fita De Borda Em Pvc Nos 4 Topos Da Porta, Na Mesma Cor Do Laminado;
Alavanca Com Acabamento Cromado- Marco Em Cedrinho, Cerne Ou Lenheiro, Seco, Rebaixado, Com Moldura Interna E
Emassamento+Fundo Com Tinta Esmalte</t>
  </si>
  <si>
    <t>PM - 3 - 1,07x2,10m - Porta semi-oca, emcabeçada, revestida em Ambos Os Lados Com Laminado Fita De Borda Em Pvc Nos 4 Topos Da Porta, Na Mesma Cor Do Laminado;
Alavanca Com Acabamento Cromado- Marco Em Cedrinho, Cerne Ou Lenheiro, Seco, Rebaixado, Com Moldura Interna E
Emassamento+Fundo Com Tinta Esmalte</t>
  </si>
  <si>
    <t>PM - 1'' - 1,22x2,10m - Porta semi-oca, emcabeçada, revestida em Ambos Os Lados Com Laminado Fita De Borda Em Pvc Nos 4 Topos Da Porta, Na Mesma Cor Do Laminado;
Alavanca Com Acabamento Cromado- Marco Em Cedrinho, Cerne Ou Lenheiro, Seco, Rebaixado, Com Moldura Interna E
Emassamento+Fundo Com Tinta Esmalte</t>
  </si>
  <si>
    <t>Revestimentos Paredes</t>
  </si>
  <si>
    <t>HCPA_12</t>
  </si>
  <si>
    <t>Revestimentos Pisos</t>
  </si>
  <si>
    <t>Acabamento com piso vinílico em placas 50x50cm. Ref: Forbo Alura Flex, Grigrio Concrete 1633 ou similar</t>
  </si>
  <si>
    <t>Rodapé em WPC, cor branca, h=7cm e=1,5cm. Ref: Ecovale ou similar</t>
  </si>
  <si>
    <t>Metais</t>
  </si>
  <si>
    <t>Lavatório de louça, na cor gelo, dim 44,5x35,5x15cm, sem coluna, ref: DECA Aspem - Cod L.510.17 ou equivalente</t>
  </si>
  <si>
    <t>Torneira Tipo Presmatic</t>
  </si>
  <si>
    <t>INOX</t>
  </si>
  <si>
    <t>TI-01 - Tampo em Inox com Pia e expurgo 1,50x0,60m: aço AISI304, liga 18.8, chapa e&gt;1mm, acabamento polido, com reforço, com rebaixo na área molhada. Cuba inox AISI304 50x40x21, ref: Tramontina Prime Maxi cuba 50 Plus BS. Cuba de Expurgo redonda Ø34, em Inox AISI304 e&gt;1mm, monobloco, lisa, acabamento polido, borda lisa, espera para entrada de água saída de esgoto. Conforme projeto</t>
  </si>
  <si>
    <t>LC-01 - Lavabo Cirúrgico Suspenso 1,80x0,50m, em Inox AISI304, liga 18.8, chapa e&gt;1mm, espelho 11cm, saia de 4cm, cantos arredondados e soldas ocultas. Conforme projeto.</t>
  </si>
  <si>
    <t>Torneira Tampo</t>
  </si>
  <si>
    <t>Torneira lavabo</t>
  </si>
  <si>
    <t>TI-01 - Tampo em Inox com Pia 1,60x0,60m, Espelho 14cm e saia 10cm: aço AISI304, liga 18.8, chapa e&gt;1mm, acabamento polido, com reforço, com rebaixo na área molhada. Cuba inox AISI304 40x34x21, ref: Tramontina Prime Retangula BL ou similar. Conforme projeto</t>
  </si>
  <si>
    <t>Elétrica</t>
  </si>
  <si>
    <t>SIMULAÇÃO</t>
  </si>
  <si>
    <t>COORDENAÇÃO</t>
  </si>
  <si>
    <t>REANIMAÇÃO</t>
  </si>
  <si>
    <t>CONSULTORIOS</t>
  </si>
  <si>
    <t>PROFESSORES/ALUNOS/ESTAGIOS</t>
  </si>
  <si>
    <t>SEDE-SIMULAÇÃO</t>
  </si>
  <si>
    <t>Material</t>
  </si>
  <si>
    <t>Serviço</t>
  </si>
  <si>
    <t>CONSULTÓRIO SIMULADO</t>
  </si>
  <si>
    <t>ÁREA DE SIMULAÇÃO</t>
  </si>
  <si>
    <t>SEDE</t>
  </si>
  <si>
    <t>PROFESSOR - ALUNO</t>
  </si>
  <si>
    <t>vb</t>
  </si>
  <si>
    <t>PM - 1 - 0,80x2,10m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t>
  </si>
  <si>
    <t>PM - 2 - 1,02x2,10m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t>
  </si>
  <si>
    <t>PM - 3 - 1,07x2,10m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t>
  </si>
  <si>
    <t>PM - 1'' - 1,22x2,10m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</si>
  <si>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</si>
  <si>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</si>
  <si>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</si>
  <si>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</si>
  <si>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</si>
  <si>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</si>
  <si>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</si>
  <si>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</si>
  <si>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</si>
  <si>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</si>
  <si>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</si>
  <si>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</si>
  <si>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</si>
  <si>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Cotação 14</t>
  </si>
  <si>
    <t>Cotação 15</t>
  </si>
  <si>
    <t>Cotação 16</t>
  </si>
  <si>
    <t>Cotação 17</t>
  </si>
  <si>
    <t>Cotação 18</t>
  </si>
  <si>
    <t>Serviço HCPA 01</t>
  </si>
  <si>
    <t>Serviço HCPA 02</t>
  </si>
  <si>
    <t>Serviço HCPA 03</t>
  </si>
  <si>
    <t>Serviço HCPA 04</t>
  </si>
  <si>
    <t>Serviço HCPA 05</t>
  </si>
  <si>
    <t>Serviço HCPA 06</t>
  </si>
  <si>
    <t>PM - 1 - 0,80x2,10m - Porta semi-oca, emcabeçada, revestida em Ambos Os Lados Com Laminado Fita De Borda Em Pvc Nos 4 Topos Da Porta, Na Mesma Cor Do Laminado;
Alavanca Com Acabamento Cromado- Marco Em Cedrinho, Cerne Ou Lenheiro, Seco, Rebaixado, Com Moldura Interna E Emassamento+Fundo Com Tinta Esmalte</t>
  </si>
  <si>
    <t>SIMULAÇÂO</t>
  </si>
  <si>
    <t xml:space="preserve">Preço 01 </t>
  </si>
  <si>
    <t>Empresa</t>
  </si>
  <si>
    <t>Preço 02</t>
  </si>
  <si>
    <t>Preço 03</t>
  </si>
  <si>
    <t>Média</t>
  </si>
  <si>
    <t>Mediana</t>
  </si>
  <si>
    <t>Alumibox - 3334 7189</t>
  </si>
  <si>
    <t>Alumibox - 3334 7190</t>
  </si>
  <si>
    <t>Alumibox - 3334 7191</t>
  </si>
  <si>
    <t>Remoção De Tapume/ Chapas Metálicas E De Madeira, De Forma Manual, Sem Reaproveitamento. Af_12/2017</t>
  </si>
  <si>
    <t>Remoção De Portas, De Forma Manual, Sem Reaproveitamento. Af_12/2017</t>
  </si>
  <si>
    <t>Remoção De Forros De Drywall, Pvc E Fibromineral, De Forma Manual, Sem Reaproveitamento. Af_12/2017</t>
  </si>
  <si>
    <t>Forro Em Placas De Gesso, Para Ambientes Comerciais. Af_05/2017_P</t>
  </si>
  <si>
    <t>Instalação De Reforço De Madeira Em Parede Drywall. Af_06/2017</t>
  </si>
  <si>
    <t>Alcapao Em Ferro 60X60Cm, Incluso Ferragens</t>
  </si>
  <si>
    <t>Aplicação E Lixamento De Massa Látex Em Teto, Duas Demãos. Af_06/2014</t>
  </si>
  <si>
    <t>Aplicação E Lixamento De Massa Látex Em Paredes, Duas Demãos. Af_06/2014</t>
  </si>
  <si>
    <t>Aplicação De Fundo Selador Acrílico Em Teto, Uma Demão. Af_06/2014</t>
  </si>
  <si>
    <t>Aplicação De Fundo Selador Acrílico Em Paredes, Uma Demão. Af_06/2014</t>
  </si>
  <si>
    <t>Aplicação Manual De Pintura Com Tinta Látex Acrílica Em Teto, Duas Demãos. Af_06/2014</t>
  </si>
  <si>
    <t>Aplicação Manual De Pintura Com Tinta Látex Acrílica Em Paredes, Duas Demãos. Af_06/2014</t>
  </si>
  <si>
    <t>Limpeza De Piso Cerâmico Ou Porcelanato Com Vassoura A Seco. Af_04/2019</t>
  </si>
  <si>
    <t>Transporte Horizontal, Massa/Granel, Jerica 90L, 50M. Af_06/2014</t>
  </si>
  <si>
    <t xml:space="preserve">MAT </t>
  </si>
  <si>
    <t>MO</t>
  </si>
  <si>
    <t>Referencia do preço</t>
  </si>
  <si>
    <t>Cotação, por preço médio</t>
  </si>
  <si>
    <t>Contrato HCPA 251372</t>
  </si>
  <si>
    <t>Remoção De Chapas E Perfis De Drywall, De Forma Manual, Sem Reaproveitamento. Af_12/2017</t>
  </si>
  <si>
    <t>Parede Com Placas De Gesso Acartonado (Drywall), Para Uso Interno, Com Duas Faces Simples E Estrutura Metálica Com Guias Simples, Sem Vãos. Af_06/2017_P</t>
  </si>
  <si>
    <t>Parede Com Placas De Gesso Acartonado (Drywall), Para Uso Interno, Com Duas Faces Simples E Estrutura Metálica Com Guias Simples, Com Vãos Af_06/2017_P</t>
  </si>
  <si>
    <t>revestimento cerâmico para piso com placas tipo porcelanato de dimensões 60x60 cm aplicada em ambientes de área menor que 5 m². retificado esmaltado acetinado com rejunte cinza. referência portinari loft a</t>
  </si>
  <si>
    <t>Revestimento Cerâmico Para Piso Com Placas Tipo Porcelanato De Dimensões 60X60 Cm Aplicada Em Ambientes De Área Menor Que 5 M². Retificado Esmaltado Acetinado Com Rejunte Cinza. Referência Portinari Loft A</t>
  </si>
  <si>
    <t>PM - 1' - 0,82x2,10m - Porta semi-oca,  com visor em vidro incolor 4mm dim 50x80cm, emcabeçada, revestida em Ambos Os Lados Com Laminado Fita De Borda Em Pvc Nos 4 Topos Da Porta, Na Mesma Cor Do Laminado; Alavanca Com Acabamento Cromado- Marco Em Cedrinho, Cerne Ou Lenheiro, Seco, Rebaixado, Com Moldura Interna e Emassamento+Fundo Com Tinta Esmalte</t>
  </si>
  <si>
    <t>Torneira Automática para Pia de Banheiro Bica Baixa Cromada Ref: Decamatic Eco Deca</t>
  </si>
  <si>
    <t>ADEQUAÇÕES SIMULAÇÃO - 6º BLOCO C</t>
  </si>
  <si>
    <t>PRÓPRIA</t>
  </si>
  <si>
    <t>02.00</t>
  </si>
  <si>
    <t>02.01</t>
  </si>
  <si>
    <t>02.01.01</t>
  </si>
  <si>
    <t>02.01.02</t>
  </si>
  <si>
    <t>02.02</t>
  </si>
  <si>
    <t>02.02.01</t>
  </si>
  <si>
    <t>02.02.02</t>
  </si>
  <si>
    <t>02.02.03</t>
  </si>
  <si>
    <t>02.02.04</t>
  </si>
  <si>
    <t>02.03</t>
  </si>
  <si>
    <t>02.03.01</t>
  </si>
  <si>
    <t>02.03.02</t>
  </si>
  <si>
    <t>02.03.03</t>
  </si>
  <si>
    <t>02.03.04</t>
  </si>
  <si>
    <t>02.03.05</t>
  </si>
  <si>
    <t>02.03.06</t>
  </si>
  <si>
    <t>02.04</t>
  </si>
  <si>
    <t>02.04.01</t>
  </si>
  <si>
    <t>02.04.02</t>
  </si>
  <si>
    <t>02.05</t>
  </si>
  <si>
    <t>02.05.01</t>
  </si>
  <si>
    <t>02.05.02</t>
  </si>
  <si>
    <t>02.06</t>
  </si>
  <si>
    <t>02.06.01</t>
  </si>
  <si>
    <t>02.07</t>
  </si>
  <si>
    <t>02.07.01</t>
  </si>
  <si>
    <t>02.08</t>
  </si>
  <si>
    <t>02.08.01</t>
  </si>
  <si>
    <t>02.09</t>
  </si>
  <si>
    <t>02.09.01</t>
  </si>
  <si>
    <t>02.09.02</t>
  </si>
  <si>
    <t>03.00</t>
  </si>
  <si>
    <t>03.01</t>
  </si>
  <si>
    <t>03.01.01</t>
  </si>
  <si>
    <t>03.01.02</t>
  </si>
  <si>
    <t>03.01.03</t>
  </si>
  <si>
    <t>03.02</t>
  </si>
  <si>
    <t>03.02.01</t>
  </si>
  <si>
    <t>03.02.02</t>
  </si>
  <si>
    <t>03.02.03</t>
  </si>
  <si>
    <t>03.02.04</t>
  </si>
  <si>
    <t>03.02.05</t>
  </si>
  <si>
    <t>03.03</t>
  </si>
  <si>
    <t>03.03.01</t>
  </si>
  <si>
    <t>03.03.02</t>
  </si>
  <si>
    <t>03.03.03</t>
  </si>
  <si>
    <t>03.03.04</t>
  </si>
  <si>
    <t>03.03.05</t>
  </si>
  <si>
    <t>03.03.06</t>
  </si>
  <si>
    <t>03.04</t>
  </si>
  <si>
    <t>03.04.01</t>
  </si>
  <si>
    <t>03.04.02</t>
  </si>
  <si>
    <t>03.05</t>
  </si>
  <si>
    <t>03.05.01</t>
  </si>
  <si>
    <t>03.05.02</t>
  </si>
  <si>
    <t>03.05.03</t>
  </si>
  <si>
    <t>03.06</t>
  </si>
  <si>
    <t>03.06.01</t>
  </si>
  <si>
    <t>03.06.02</t>
  </si>
  <si>
    <t>03.06.03</t>
  </si>
  <si>
    <t>03.07</t>
  </si>
  <si>
    <t>03.07.01</t>
  </si>
  <si>
    <t>03.08</t>
  </si>
  <si>
    <t>03.08.01</t>
  </si>
  <si>
    <t>03.08.02</t>
  </si>
  <si>
    <t>03.09</t>
  </si>
  <si>
    <t>03.09.01</t>
  </si>
  <si>
    <t>03.09.02</t>
  </si>
  <si>
    <t>03.09.03</t>
  </si>
  <si>
    <t>04.00</t>
  </si>
  <si>
    <t>04.01</t>
  </si>
  <si>
    <t>04.01.01</t>
  </si>
  <si>
    <t>04.01.02</t>
  </si>
  <si>
    <t>04.02</t>
  </si>
  <si>
    <t>04.02.01</t>
  </si>
  <si>
    <t>04.02.02</t>
  </si>
  <si>
    <t>04.02.03</t>
  </si>
  <si>
    <t>04.02.04</t>
  </si>
  <si>
    <t>04.03</t>
  </si>
  <si>
    <t>04.03.01</t>
  </si>
  <si>
    <t>04.03.02</t>
  </si>
  <si>
    <t>04.03.03</t>
  </si>
  <si>
    <t>04.04</t>
  </si>
  <si>
    <t>04.04.01</t>
  </si>
  <si>
    <t>04.04.02</t>
  </si>
  <si>
    <t>04.05</t>
  </si>
  <si>
    <t>04.05.01</t>
  </si>
  <si>
    <t>04.06</t>
  </si>
  <si>
    <t>04.06.01</t>
  </si>
  <si>
    <t>04.07</t>
  </si>
  <si>
    <t>04.07.01</t>
  </si>
  <si>
    <t>04.07.02</t>
  </si>
  <si>
    <t>05.00</t>
  </si>
  <si>
    <t>05.01</t>
  </si>
  <si>
    <t>05.01.01</t>
  </si>
  <si>
    <t>05.01.02</t>
  </si>
  <si>
    <t>05.02</t>
  </si>
  <si>
    <t>05.02.01</t>
  </si>
  <si>
    <t>05.02.02</t>
  </si>
  <si>
    <t>05.03</t>
  </si>
  <si>
    <t>05.03.01</t>
  </si>
  <si>
    <t>05.04</t>
  </si>
  <si>
    <t>05.04.01</t>
  </si>
  <si>
    <t>05.04.02</t>
  </si>
  <si>
    <t>06.00</t>
  </si>
  <si>
    <t>06.01</t>
  </si>
  <si>
    <t>06.01.01</t>
  </si>
  <si>
    <t>06.02</t>
  </si>
  <si>
    <t>06.02.01</t>
  </si>
  <si>
    <t>06.02.02</t>
  </si>
  <si>
    <t>06.02.03</t>
  </si>
  <si>
    <t>06.03</t>
  </si>
  <si>
    <t>06.03.01</t>
  </si>
  <si>
    <t>06.03.02</t>
  </si>
  <si>
    <t>06.03.03</t>
  </si>
  <si>
    <t>06.04</t>
  </si>
  <si>
    <t>06.04.01</t>
  </si>
  <si>
    <t>06.04.02</t>
  </si>
  <si>
    <t>06.05</t>
  </si>
  <si>
    <t>06.05.01</t>
  </si>
  <si>
    <t>06.06</t>
  </si>
  <si>
    <t>06.06.01</t>
  </si>
  <si>
    <t>07.00</t>
  </si>
  <si>
    <t>Marco, guarnições e ferragem?</t>
  </si>
  <si>
    <t>onde será aplicado?</t>
  </si>
  <si>
    <t>onde?</t>
  </si>
  <si>
    <t>CLIMATIZAÇÃO E GASES</t>
  </si>
  <si>
    <t>VVT INOX</t>
  </si>
  <si>
    <t>Porta = 1038+456; Marco 545 + 238; Fechadura 180+50</t>
  </si>
  <si>
    <t>Porta = 1038+456; Marco 545 + 238; Fechadura 180+51</t>
  </si>
  <si>
    <t xml:space="preserve">LARA - Contrato HCPA </t>
  </si>
  <si>
    <t>Porta = 1149+456; Marco 545 + 238; Fechadura 180+52</t>
  </si>
  <si>
    <t>Porta = 1149+456; Marco 545 + 238; Fechadura 180+53</t>
  </si>
  <si>
    <t>Porta = 1237+456; Marco 545 + 238; Fechadura 180+54</t>
  </si>
  <si>
    <t>Preço de internet</t>
  </si>
  <si>
    <t>121 + 30% de MO</t>
  </si>
  <si>
    <t>Preço contrato MO 2021</t>
  </si>
  <si>
    <t>PEÇAS EM INOX</t>
  </si>
  <si>
    <t>01.00.01</t>
  </si>
  <si>
    <t>01.00.02</t>
  </si>
  <si>
    <t>01.00.03</t>
  </si>
  <si>
    <t>01.00.04</t>
  </si>
  <si>
    <t>Mês 01</t>
  </si>
  <si>
    <t>Mês 02</t>
  </si>
  <si>
    <t>Total</t>
  </si>
  <si>
    <t>TOUCH GLASS
SANDER MENNA
(51)99922-0085</t>
  </si>
  <si>
    <t>3 meses</t>
  </si>
  <si>
    <t xml:space="preserve">PROPRIETÁRIO : </t>
  </si>
  <si>
    <t>Hospital das Clínicas de Porto Alegre</t>
  </si>
  <si>
    <t xml:space="preserve">ENCARGOS SOCIAIS (horista): </t>
  </si>
  <si>
    <t xml:space="preserve">OBRA : </t>
  </si>
  <si>
    <t xml:space="preserve">ENCARGOS SOCIAIS (mensalista): </t>
  </si>
  <si>
    <t xml:space="preserve">ENDEREÇO: </t>
  </si>
  <si>
    <t>Av. Ramiro Barcelos, nº 2.350 - Porto Alegre / RS</t>
  </si>
  <si>
    <t>BDI Equipamentos ( * ):</t>
  </si>
  <si>
    <t xml:space="preserve">DATA BASE: </t>
  </si>
  <si>
    <t xml:space="preserve">ASSUNTO : </t>
  </si>
  <si>
    <t>Composição de Preço Unitário</t>
  </si>
  <si>
    <t>Custo Unitário Material (R$)</t>
  </si>
  <si>
    <t>Custo Unitário Mão-de-Obra (R$)</t>
  </si>
  <si>
    <t>Total Material</t>
  </si>
  <si>
    <t>Total Mão de obra</t>
  </si>
  <si>
    <t>COMPOSIÇÕES DE MÃO DE OBRA</t>
  </si>
  <si>
    <t>Comp 0</t>
  </si>
  <si>
    <t>Sinapi</t>
  </si>
  <si>
    <t>2438</t>
  </si>
  <si>
    <t>Eletrotecnico</t>
  </si>
  <si>
    <t>37370</t>
  </si>
  <si>
    <t>Alimentacao - horista (coletado caixa)</t>
  </si>
  <si>
    <t>37371</t>
  </si>
  <si>
    <t>Transporte - horista (coletado caixa)</t>
  </si>
  <si>
    <t>37372</t>
  </si>
  <si>
    <t>Exames - horista (coletado caixa)</t>
  </si>
  <si>
    <t>37373</t>
  </si>
  <si>
    <t>Seguro - horista (coletado caixa)</t>
  </si>
  <si>
    <t>Ferramentas (encargos complementares) - horista</t>
  </si>
  <si>
    <t>EPI (encargos complementares) - horista</t>
  </si>
  <si>
    <t>95334</t>
  </si>
  <si>
    <t>Curso de capacitação para eletrotécnico (encargos complementares) - horista</t>
  </si>
  <si>
    <t>NR-16</t>
  </si>
  <si>
    <t>Adicional de periculosidade</t>
  </si>
  <si>
    <t>Comp 1</t>
  </si>
  <si>
    <t>Eletricista com encargos complementares e adicional de periculosidade</t>
  </si>
  <si>
    <t>Eletricista</t>
  </si>
  <si>
    <t>Alimentação - horista</t>
  </si>
  <si>
    <t>Transporte - horista</t>
  </si>
  <si>
    <t>Exames - horista</t>
  </si>
  <si>
    <t>Seguro - horista</t>
  </si>
  <si>
    <t>95332</t>
  </si>
  <si>
    <t>Curso de capacitação para eletricista (encargos complementaresa) - horista</t>
  </si>
  <si>
    <t>Comp 2</t>
  </si>
  <si>
    <t>Auxiliar de eletricista com encargos complementares e adicional de periculosidade</t>
  </si>
  <si>
    <t>247</t>
  </si>
  <si>
    <t>Ajudante de eletricista</t>
  </si>
  <si>
    <t>95316</t>
  </si>
  <si>
    <t>Curso de capacitação para auxiliar de eletricista (encargos complementaresa) - horista</t>
  </si>
  <si>
    <t>Comp</t>
  </si>
  <si>
    <t>Comp 4</t>
  </si>
  <si>
    <t>Remoção de tomadas ou interruptores elétricos com reaproveitamento (incluindo desconexão dos cabos e remoção)</t>
  </si>
  <si>
    <t>und</t>
  </si>
  <si>
    <t>Comp 6</t>
  </si>
  <si>
    <t>Retirada de luminárias com reaproveitamento</t>
  </si>
  <si>
    <t>Fita isolante adesiva antichama, uso até 750 V</t>
  </si>
  <si>
    <t>Comp 13</t>
  </si>
  <si>
    <t>Cabinho Flexível de 2,5 mm² / 750 V - Cor conforme projeto - Fornecimento e Instalação</t>
  </si>
  <si>
    <t>Cabo de cobre 2,5mm2 - 750V</t>
  </si>
  <si>
    <t>Comp 14</t>
  </si>
  <si>
    <t>Cabinho Flexível de 4,0 mm² / 750 V - Cor conforme projeto - Fornecimento e Instalação</t>
  </si>
  <si>
    <t>cabo de cobre isolamento anti-chama 450/750V 4mm2</t>
  </si>
  <si>
    <t>Comp 15</t>
  </si>
  <si>
    <t>Cabinho Flexível de 6,0 mm² / 750 V - Cor conforme projeto - Fornecimento e Instalação</t>
  </si>
  <si>
    <t>cabo de cobre isolamento anti-chama 450/750V 6mm2</t>
  </si>
  <si>
    <t>Comp 27-A</t>
  </si>
  <si>
    <t>Mercado</t>
  </si>
  <si>
    <t>Comp 29-A</t>
  </si>
  <si>
    <t>Comp 31-A</t>
  </si>
  <si>
    <t>Comp 31-B</t>
  </si>
  <si>
    <t>Ponto de força em duto de alumínio - Fornecimento e instalação.</t>
  </si>
  <si>
    <t>Suporte de Equipamentos para placas 4x2" (instalação central) em termoplástico ABS para canaletas 25mm. Acabamento conforme solicitação: cinza ou branco  - Ref. Dutotec DT 51031.00 / DT 51041.00 ou equivalente - Fornecimento</t>
  </si>
  <si>
    <t>Comp 31-C</t>
  </si>
  <si>
    <t>Ponto de rede simples em duto de alumínio - Fornecimento e instalação. (sem conectorização)</t>
  </si>
  <si>
    <t>Comp 31-D</t>
  </si>
  <si>
    <t>Ponto de rede duplo em duto de alumínio - Fornecimento e instalação. (sem conectorização)</t>
  </si>
  <si>
    <t>Tomada de rede RJ-45 dupla, conjunto completo (placa 4x2" + 02 tomadas RJ-45). Tramontina ref. 57145022/57115056 - Fornecimento</t>
  </si>
  <si>
    <t>Comp 34</t>
  </si>
  <si>
    <t>Interruptor 1 seção simples, 10A, 250V, com placa 4"x2". Conjunto completo placa + módulo. Marca Tramontina ref. 57145001 - Serviço de Instalação</t>
  </si>
  <si>
    <t>Comp 35</t>
  </si>
  <si>
    <t>Interruptor 2 seções simples, 10A, 250V, com placa 4"x2". Conjunto completo placa + módulo. Marca Tramontina ref. 57145040 - Fornecimento e Instalação</t>
  </si>
  <si>
    <t>Comp 36</t>
  </si>
  <si>
    <t>Interruptor 3 seções simples, 10A, 250V, com placa 4"x2". Conjunto completo placa + módulo. Marca Tramontina ref. 57145070 - Fornecimento e Instalação</t>
  </si>
  <si>
    <t>Comp 37</t>
  </si>
  <si>
    <t>Módulo de interruptor simples 10A, 250V. Marca Tramontina ref. 57115001 - Fornecimento e instalação</t>
  </si>
  <si>
    <t>M</t>
  </si>
  <si>
    <t>Comp 44</t>
  </si>
  <si>
    <t>Lâmpada led tubular bivolt 9/10W, base G13 bipino, comprimento 600mm, cor ≥ 6400K, 800 lm, F.P. ≥ 0,9 ,  IRC ≥ 80 - Referência Philips ou equivalente em qualidade - fornecimento e instalação</t>
  </si>
  <si>
    <t>Lâmpada led tubular bivolt 9/10 W, base G13</t>
  </si>
  <si>
    <t>Comp 45</t>
  </si>
  <si>
    <t>Lâmpada led tubular bivolt 18/20W, base G13 bipino, comprimento 1200mm, cor ≥ 6400K, 800 lm, F.P. ≥ 0,9 ,  IRC ≥ 80 - Referência Philips ou equivalente em qualidade - fornecimento e instalação</t>
  </si>
  <si>
    <t>Lâmpada led tubular bivolt 18/20 W, base G13</t>
  </si>
  <si>
    <t>Comp 47</t>
  </si>
  <si>
    <t>Luminária de sobrepor, compatível com 02 lâmpadas tubulares de 60cm de comprimento (2x16W). Tipo Resmini Ref. R500 - mat</t>
  </si>
  <si>
    <t>luminária de sobrepor para 2 lâmpadas fluorescentes 18W</t>
  </si>
  <si>
    <t>Comp 48</t>
  </si>
  <si>
    <t>Luminária de sobrepor, compatível com 02 lâmpadas tubulares de 120cm de comprimento (2x32W). Tipo Resmini Ref. R500 - mat</t>
  </si>
  <si>
    <t>luminária de sobrepor para 2 lâmpadas fluorescentes 36W</t>
  </si>
  <si>
    <t>Comp 51</t>
  </si>
  <si>
    <t>Soquete de baquelite</t>
  </si>
  <si>
    <t>Comp 77</t>
  </si>
  <si>
    <t>Comp 78</t>
  </si>
  <si>
    <t>Comp 79</t>
  </si>
  <si>
    <t>Tomada de rede RJ-45 dupla - Fornecimento e instalação (sem conectorização)</t>
  </si>
  <si>
    <t>Tomada de rede RJ-45, conjunto completo (placa 4x2" + tomada RJ-45)</t>
  </si>
  <si>
    <t>Tomada RJ-45, 8 fios (apenas módulo)</t>
  </si>
  <si>
    <t>Argamassa traço 1:3 (cimento e areia média), preparo manual</t>
  </si>
  <si>
    <t>Comp 91</t>
  </si>
  <si>
    <t>Caixa de passagem de ferro galvanizado 4" x 4" - Estampada chapa preto nº 18 - Instalação</t>
  </si>
  <si>
    <t>Comp 92</t>
  </si>
  <si>
    <t>Caixa de passagem em PVC de embutir para gesso acartonado 4" x 2" - Referência Pial ou equivalente em qualidade</t>
  </si>
  <si>
    <t xml:space="preserve">Bucha de nylon sem aba S8, com parafuso de 4,80 x 50 mm em aco zincado com rosca soberba, cabeca chata e fenda phillips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</si>
  <si>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Bucha de nylon sem aba S6, com parafuso de 4,20 x 40mm em aço zincado com rosca soberba, cabeça chata e fenda Phillips</t>
  </si>
  <si>
    <t>Comp 96</t>
  </si>
  <si>
    <t>Cotovelo 90 graus de aço galvanizado 1"</t>
  </si>
  <si>
    <t>Luva de Aço Galvanizado 1"</t>
  </si>
  <si>
    <t>Arruela/Bucha de alumínio para eletroduto 1"</t>
  </si>
  <si>
    <t xml:space="preserve">Abraçadeira em aco para amarracao de eletrodutos, tipo D, com 1" e cunha de fixacao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</si>
  <si>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 97</t>
  </si>
  <si>
    <t>Condulete 1" em alumínio fundido - Instalação e fornecimento</t>
  </si>
  <si>
    <t>Condulete multiplo 1" em alumínio fundido com tampa cega + 3 tampões - Tramontina: 56200/003 ou 013 - Fornecimento</t>
  </si>
  <si>
    <t>Conector reto de aluminio para eletroduto de 1"</t>
  </si>
  <si>
    <t>Comp 100</t>
  </si>
  <si>
    <t>Eletroduto Flexível corrugado, PVC,  DN 25mm (3/4"), para circuitos terminais, instalado em parede, cor laranja reforçado - Fornecimento e instalação</t>
  </si>
  <si>
    <t>Eletroduto PVC flexível corrugado de 25mm</t>
  </si>
  <si>
    <t>Comp 101</t>
  </si>
  <si>
    <t>Eletroduto Flexível corrugado, PVC,  DN 32mm (1"), para circuitos terminais, instalado em parede, cor laranja reforçado - Fornecimento e instalação</t>
  </si>
  <si>
    <t>eletroduto PVC flexível corrugado, cor amarela, 32mm</t>
  </si>
  <si>
    <t>vergalhão zincado rosca total, 1/4"</t>
  </si>
  <si>
    <t>chumbador diâmetro 1/4"</t>
  </si>
  <si>
    <t>arruela em aço galvanizado</t>
  </si>
  <si>
    <t>porca zincada, sextavada, diâmetro 1/4"</t>
  </si>
  <si>
    <t>parafuso zincado cabeça chata fenda simples</t>
  </si>
  <si>
    <t>Comp 105</t>
  </si>
  <si>
    <t>Comp 106</t>
  </si>
  <si>
    <t>Gancho longo para perfilado</t>
  </si>
  <si>
    <t>Comp 108</t>
  </si>
  <si>
    <t>Canaleta de alumínio duplo 73x25mm com tampa ranhurada, acabamento conforme solicitação (anodizado fosco ou branco) - Ref. Dutotec DT 12210.00 / DT 12240.00 ou equivalente - Fornecimento e instalação</t>
  </si>
  <si>
    <t>Canaleta de alumínio duplo 73x25mm, acabamento anodizado fosco ou branco - Ref. Dutotec DT 12210.00 / DT 12240.00</t>
  </si>
  <si>
    <t>Tampa de canaleta de alumínio ranhurada 73x25mm, acabamento anodizado fosco ou branco - Ref. Dutotec DT 15010.00 / DT 15040.00 ou equivalente</t>
  </si>
  <si>
    <t>Comp 109</t>
  </si>
  <si>
    <t>Tampa terminal em termoplástico ABS para canaletas 73x25mm. Cor conforme solicitação - Instalação</t>
  </si>
  <si>
    <t>Comp 110</t>
  </si>
  <si>
    <t>Comp 111</t>
  </si>
  <si>
    <t>Curva vertical interna R30 para canaleta 73x25mm. Acabamento conforme solicitação: alumínio (pintura) ou branco - Ref. Dutotec DT 38081.30 / DT 38041.30 ou equivalente - Instalação</t>
  </si>
  <si>
    <t>Comp 112</t>
  </si>
  <si>
    <t>Curva vertical 90° para canaleta 73x25mm. Acabamento conforme solicitação: alumínio (pintura) ou branco - Ref. Dutotec DT 37530.00 / DT 37540.00 ou equivalente - Instalação</t>
  </si>
  <si>
    <t>Comp 113</t>
  </si>
  <si>
    <t>Comp 114</t>
  </si>
  <si>
    <t>COMPOSIÇÕES DE PREÇOS UNITÁRIOS</t>
  </si>
  <si>
    <t>Eletrotécnico com encargos complementares</t>
  </si>
  <si>
    <t>Cabo flexível 3x2,5mm² PP 500V</t>
  </si>
  <si>
    <t>Cabo flexível 3x2,5mm² PP 500V - Fornecimento e instalação</t>
  </si>
  <si>
    <t>02.10</t>
  </si>
  <si>
    <t>Cabinho Flexível de 2,5 mm² / 750V. Cor conforme projeto</t>
  </si>
  <si>
    <t>02.10.01</t>
  </si>
  <si>
    <t>02.10.02</t>
  </si>
  <si>
    <t>02.10.03</t>
  </si>
  <si>
    <t>02.10.04</t>
  </si>
  <si>
    <t>31-B</t>
  </si>
  <si>
    <t>Cabinho Flexível de 4 mm² / 750V. Cor conforme projeto</t>
  </si>
  <si>
    <t>02.10.05</t>
  </si>
  <si>
    <t>31-C</t>
  </si>
  <si>
    <t>Tomada dupla 4 x 2" (conjunto completo placa + 2 módulos 2P+T 20A / 250V) - Cor conforme o projeto.</t>
  </si>
  <si>
    <t>Ponto de força duplo em duto de alumínio (completo, incluindo tomada dupla, placa 4"x2" e suporte de equipamentos)</t>
  </si>
  <si>
    <t>Tomada de rede RJ-45 simples, conjunto completo (placa 4x2" + tomada RJ-45).</t>
  </si>
  <si>
    <t>Ponto de rede simples em duto de alumínio (completo, incluindo conector RJ-45 fêmea, placa 4"x2" e suporte de equipamentos)</t>
  </si>
  <si>
    <t>Interruptor 1 seção simples, 10A/250V, com placa 4"x2". Conjunto completo placa + módulo. Tramontina ref. 57145001</t>
  </si>
  <si>
    <t>02.10.06</t>
  </si>
  <si>
    <t>Interruptor 1 seção simples, 10A/250V, com placa 4"x2". Conjunto completo placa + módulo</t>
  </si>
  <si>
    <t>02.10.07</t>
  </si>
  <si>
    <t>Lâmpada led tubular bivolt 9/10W, base G13 bipino, comprimento 600mm, cor ≥ 6400K, 800 lm, F.P. ≥ 0,9 ,  IRC ≥ 80 - Certificação Inmetro e Procel</t>
  </si>
  <si>
    <t>02.10.08</t>
  </si>
  <si>
    <t>Luminária de sobrepor, compatível com 02 lâmpadas tubulares de 120cm de comprimento (2x32W). Tipo Resmini Ref. R500</t>
  </si>
  <si>
    <t>Cabo de transmissão de dados Gigalan Max Green U/UTP 23AWG X 4 pares CAT.6 LSZH Furukawa</t>
  </si>
  <si>
    <t>Condulete multiplo 1" em alumínio fundido com tampa cega + 3 tampões - Tramontina: 56200/003 ou 013</t>
  </si>
  <si>
    <t>Eletroduto Flexível corrugado, PVC,  DN 25mm (3/4"), para circuitos terminais, instalado em parede, cor laranja reforçado. Referência Tigre ou equivalente em qualidade</t>
  </si>
  <si>
    <t>Canaleta de alumínio duplo 73x25mm com tampa ranhurada, acabamento conforme solicitação (anodizado fosco ou branco) - Ref. Dutotec DT 12210.00 / DT 12240.00 ou equivalente</t>
  </si>
  <si>
    <t>Tampa terminal em termoplástico ABS para canaletas 73x25mm. Cor conforme solicitação (cinza ou branco) - Ref. Dutotec DT 49130.00 / 49140.00 ou equivalente</t>
  </si>
  <si>
    <t>Adaptador de eletroduto em termoplástico ABS para canaletas 73x25mm 3x1". Cor conforme solicitação (cinza ou branco) - Ref. Dutotec DT 48030.00 / DT 48040.00 ou equivalente</t>
  </si>
  <si>
    <t>Curva horizontal 90° para canaleta 73x25mm. Acabamento conforme solicitação: cinza ou branco - Ref. Dutotec DT 35130.01 / DT 35140.00 ou equivalente</t>
  </si>
  <si>
    <t>02.10.09</t>
  </si>
  <si>
    <t>02.10.10</t>
  </si>
  <si>
    <t>02.10.11</t>
  </si>
  <si>
    <t>02.10.12</t>
  </si>
  <si>
    <t>02.10.13</t>
  </si>
  <si>
    <t>02.10.14</t>
  </si>
  <si>
    <t>02.10.15</t>
  </si>
  <si>
    <t>02.10.16</t>
  </si>
  <si>
    <t>Cabo de rede Gigalan U/UTP</t>
  </si>
  <si>
    <t>39599</t>
  </si>
  <si>
    <t>Cabo de par trançado UTP, 4 pares, categoria 6</t>
  </si>
  <si>
    <t>Luminária de sobrepor, compatível com 02 lâmpadas tubulares de 120cm de comprimento (2x32W). Tipo Resmini Ref. R500 - apenas serviço de instalação</t>
  </si>
  <si>
    <t>Eletroduto de Aço Galvanizado Eletrolítico tipo leve 1", Parede 0,90 mm - com acessórios e conexões inclusas - Referência Zamprogna ou equivalente</t>
  </si>
  <si>
    <t>Eletroduto de Aço Galvanizado Eletrolítico tipo leve 1", Parede 0,90 mm</t>
  </si>
  <si>
    <t>Tampa terminal em termoplástico ABS para canaletas 73x25mm</t>
  </si>
  <si>
    <t>Curva horizontal 90° para canaleta 73x25mm. Acabamento conforme solicitação: alumínio (pintura) ou branco - Ref. Dutotec DT 35130.01 / DT 35140.00 ou equivalente</t>
  </si>
  <si>
    <t>Remoção de fiação elétrica (Medição individualizada por cabo)</t>
  </si>
  <si>
    <t>Eletroduto Flexível corrugado, PVC,  DN 32mm (1"), para circuitos terminais, instalado em parede, cor laranja reforçado. Referência Tigre ou equivalente em qualidade - Fornecimento</t>
  </si>
  <si>
    <t>03.10</t>
  </si>
  <si>
    <t>03.10.01</t>
  </si>
  <si>
    <t>Cabinho Flexível de 6 mm² / 750V. Cor conforme projeto</t>
  </si>
  <si>
    <t>Placa cega 4 x 2" - Tramontina ref. 57105001</t>
  </si>
  <si>
    <t>Tomada simples 4 x 2" (conjunto completo placa + módulo 2P+T 20A / 250V) - Cor conforme o projeto. Tramontina ref. 57145013 (branca) ou 57145015 (vermelha)</t>
  </si>
  <si>
    <t>Interruptor 3 seções simples, 10A/250V, com placa 4"x2". Conjunto completo placa + módulo. Tramontina ref. 57145070</t>
  </si>
  <si>
    <t>Módulo de interruptor simples 10A/250V. Tramontina ref. 57115001</t>
  </si>
  <si>
    <t>Lâmpada led tubular bivolt 18/20W, base G13 bipino, comprimento 1200mm, cor ≥ 6400K, 800 lm, F.P. ≥ 0,9 ,  IRC ≥ 80 - Certificação Inmetro e Procel</t>
  </si>
  <si>
    <t>Luminária de sobrepor, compatível com 02 lâmpadas tubulares de 60cm de comprimento (2x16W). Tipo Resmini Ref. R500</t>
  </si>
  <si>
    <t>Tomada de rede RJ-45 simples, conjunto completo (placa 4x2" + tomada RJ-45). Furukawa</t>
  </si>
  <si>
    <t>Caixa de luz de ferro galvanizado 4" x 4" - Estampada chapa preto nº 18</t>
  </si>
  <si>
    <t>Caixa de luz em PVC de embutir para gesso acartonado 4" x 2" - Referência Tigre Dryfix 21007013 ou equivalente</t>
  </si>
  <si>
    <t>03.10.02</t>
  </si>
  <si>
    <t>03.10.03</t>
  </si>
  <si>
    <t>03.10.04</t>
  </si>
  <si>
    <t>03.10.05</t>
  </si>
  <si>
    <t>03.10.06</t>
  </si>
  <si>
    <t>Espelho/placa cega 4 x 2" - Tramontina ref. 57105001</t>
  </si>
  <si>
    <t>03.10.07</t>
  </si>
  <si>
    <t>29-A</t>
  </si>
  <si>
    <t>03.10.08</t>
  </si>
  <si>
    <t>31-A</t>
  </si>
  <si>
    <t>Tomada simples 4 x 2" (conjunto completo placa + módulo 2P+T 20A / 250V)</t>
  </si>
  <si>
    <t>03.10.09</t>
  </si>
  <si>
    <t>03.10.10</t>
  </si>
  <si>
    <t>03.10.11</t>
  </si>
  <si>
    <t>03.10.12</t>
  </si>
  <si>
    <t>03.10.13</t>
  </si>
  <si>
    <t>03.10.14</t>
  </si>
  <si>
    <t>03.10.15</t>
  </si>
  <si>
    <t>03.10.16</t>
  </si>
  <si>
    <t>03.10.17</t>
  </si>
  <si>
    <t>03.10.18</t>
  </si>
  <si>
    <t>03.10.19</t>
  </si>
  <si>
    <t>03.10.20</t>
  </si>
  <si>
    <t>03.10.21</t>
  </si>
  <si>
    <t>03.10.22</t>
  </si>
  <si>
    <t>03.10.23</t>
  </si>
  <si>
    <t>03.10.24</t>
  </si>
  <si>
    <t>03.10.25</t>
  </si>
  <si>
    <t>03.10.26</t>
  </si>
  <si>
    <t>03.10.27</t>
  </si>
  <si>
    <t>03.10.28</t>
  </si>
  <si>
    <t>03.10.29</t>
  </si>
  <si>
    <t>03.10.30</t>
  </si>
  <si>
    <t>03.10.31</t>
  </si>
  <si>
    <t>31-D</t>
  </si>
  <si>
    <t>Ponto de rede duplo em duto de alumínio (completo, incluindo conector RJ-45 fêmea duplo, placa 4"x2" e suporte de equipamentos)</t>
  </si>
  <si>
    <t>Interruptor 1 seção simples, 10A/250V, com placa 4"x2". Conjunto completo placa + módulo - apenas serviço de instalação</t>
  </si>
  <si>
    <t>Interruptor 3 seções simples, 10A/250V, com placa 4"x2". Conjunto completo placa + módulo</t>
  </si>
  <si>
    <t>Interruptor 2 seções simples, 10A/250V, com placa 4"x2". Conjunto completo placa + módulo</t>
  </si>
  <si>
    <t>Módulo de interruptor simples 10A/250V</t>
  </si>
  <si>
    <t>Tomada de rede RJ-45 simples</t>
  </si>
  <si>
    <t>Caixa de luz de ferro galvanizado 4"x4"</t>
  </si>
  <si>
    <t>Caixa de passagem em PVC de embutir para gesso acartonado 4" x 2"</t>
  </si>
  <si>
    <t>Perfilado perfurado em chapa de aço #14 USG (1,98mm), dimensões 38x38mm</t>
  </si>
  <si>
    <t>Perfilado perfurado em chapa de aço #14 USG (1,98mm), dimensões 38x38mm com acessórios de fixação inclusos</t>
  </si>
  <si>
    <t>Derivação/junção de eletrocalha, eletroduto ou perfilado (acessório conforme projeto)</t>
  </si>
  <si>
    <t>Derivação/junção de eletrocalha, eletroduto ou perfilado, em chapa de aço (acessório conforme projeto)</t>
  </si>
  <si>
    <t>Curva vertical interna R30 para canaleta 73x25mm. Acabamento conforme solicitação: alumínio (pintura) ou branco - Ref. Dutotec DT 38081.30 / DT 38041.30</t>
  </si>
  <si>
    <t>Curva vertical 90º para canaleta 73x25mm. Acabamento conforme solicitação: alumínio (pintura) ou branco - Ref. Dutotec DT 38081.30 / DT 38041.30</t>
  </si>
  <si>
    <t>Curva vertical interna R30 para canaleta 73x25mm. Acabamento conforme solicitação: alumínio (pintura) ou branco - Ref. Dutotec DT 38081.30 / DT 38041.30 ou equivalente</t>
  </si>
  <si>
    <t>Curva vertical 90° para canaleta 73x25mm. Acabamento conforme solicitação: cinza ou branco - Ref. Dutotec DT 37530.00 / DT 37540.00 ou equivalente</t>
  </si>
  <si>
    <t>Suporte de Equipamentos para placas 4x2" (instalação central) em termoplástico ABS para canaletas 25mm. Acabamento conforme solicitação: cinza ou branco  - Ref. Dutotec DT 51031.00 / DT 51041.00 ou equivalente</t>
  </si>
  <si>
    <t>Suporte de Equipamentos para placas 4x2" (instalação central) em termoplástico ABS para canaletas 25mm. Acabamento conforme solicitação: cinza ou branco - Ref. Dutotec DT 51031.00 / DT 51041.00 ou equivalente</t>
  </si>
  <si>
    <t>Luminária de sobrepor, modelo conforme projeto - serviço de instalação/realocação</t>
  </si>
  <si>
    <t>04.08</t>
  </si>
  <si>
    <t>04.08.01</t>
  </si>
  <si>
    <t>04.08.02</t>
  </si>
  <si>
    <t>04.08.03</t>
  </si>
  <si>
    <t>04.08.04</t>
  </si>
  <si>
    <t>04.08.05</t>
  </si>
  <si>
    <t>04.08.06</t>
  </si>
  <si>
    <t>04.08.07</t>
  </si>
  <si>
    <t>04.08.08</t>
  </si>
  <si>
    <t>04.08.09</t>
  </si>
  <si>
    <t>04.08.10</t>
  </si>
  <si>
    <t>04.08.11</t>
  </si>
  <si>
    <t>04.08.12</t>
  </si>
  <si>
    <t>04.08.13</t>
  </si>
  <si>
    <t>04.08.14</t>
  </si>
  <si>
    <t>04.08.15</t>
  </si>
  <si>
    <t>04.08.16</t>
  </si>
  <si>
    <t>04.08.17</t>
  </si>
  <si>
    <t>Serviço de instalação ou realocação de luminária existente (modelo conforme o projeto), com acessórios inclusos (se necessário)</t>
  </si>
  <si>
    <t>ELÉTRICA, ILUMINAÇÃO E REDE DE DADOS</t>
  </si>
  <si>
    <t>SIMULAÇÂO (REANIMAÇÃO?)</t>
  </si>
  <si>
    <t>05.05</t>
  </si>
  <si>
    <t>05.05.01</t>
  </si>
  <si>
    <t>05.05.02</t>
  </si>
  <si>
    <t>05.05.03</t>
  </si>
  <si>
    <t>27-A</t>
  </si>
  <si>
    <t>Cabo flexível 3x2,5 mm² PP 500V</t>
  </si>
  <si>
    <t>05.05.04</t>
  </si>
  <si>
    <t>05.05.05</t>
  </si>
  <si>
    <t>05.05.06</t>
  </si>
  <si>
    <t>05.05.07</t>
  </si>
  <si>
    <t>05.05.08</t>
  </si>
  <si>
    <t>05.05.09</t>
  </si>
  <si>
    <t>05.05.10</t>
  </si>
  <si>
    <t>05.05.11</t>
  </si>
  <si>
    <t>05.05.12</t>
  </si>
  <si>
    <t>05.05.13</t>
  </si>
  <si>
    <t>05.05.14</t>
  </si>
  <si>
    <t>05.05.15</t>
  </si>
  <si>
    <t>05.05.16</t>
  </si>
  <si>
    <t>06.07</t>
  </si>
  <si>
    <t>Retirada de cabos de lógica e telefonia</t>
  </si>
  <si>
    <t>06.07.01</t>
  </si>
  <si>
    <t>06.07.02</t>
  </si>
  <si>
    <t>06.07.03</t>
  </si>
  <si>
    <t>06.07.04</t>
  </si>
  <si>
    <t>06.07.05</t>
  </si>
  <si>
    <t>06.07.06</t>
  </si>
  <si>
    <t>06.07.07</t>
  </si>
  <si>
    <t>06.07.08</t>
  </si>
  <si>
    <t>06.07.09</t>
  </si>
  <si>
    <t>06.07.10</t>
  </si>
  <si>
    <t>06.07.11</t>
  </si>
  <si>
    <t>06.07.12</t>
  </si>
  <si>
    <t>06.07.13</t>
  </si>
  <si>
    <t>06.07.14</t>
  </si>
  <si>
    <t>Cotação 19</t>
  </si>
  <si>
    <t>Infracorp Comércio e Serviço Eireli</t>
  </si>
  <si>
    <t>Cotação 20</t>
  </si>
  <si>
    <t>Pró-Eletro Comercial Ltda</t>
  </si>
  <si>
    <t>Cotação 21</t>
  </si>
  <si>
    <t>Pregão Eletrônico nº 0386/21
(AF 147209/2)</t>
  </si>
  <si>
    <t>Pregão Eletrônico nº 0386/21
(AF 147209/1)</t>
  </si>
  <si>
    <t>Cotação 22</t>
  </si>
  <si>
    <t>Cotação 23</t>
  </si>
  <si>
    <t>Cotação 24</t>
  </si>
  <si>
    <t>Cotação 25</t>
  </si>
  <si>
    <t>Cotação 26</t>
  </si>
  <si>
    <t>Curva vertical 90º para canaleta 73x25mm. Ref. Dutotec DT 38081.30 / DT 38041.30</t>
  </si>
  <si>
    <t>Curva vertical interna R30 para canaleta 73x25mm. Ref. Dutotec DT 38081.30 / DT 38041.30</t>
  </si>
  <si>
    <t>Adaptador de eletroduto em termoplástico ABS para canaletas 73x25mm 3x1". Ref. Dutotec DT 48030.00 / DT 48040.00</t>
  </si>
  <si>
    <t>Curva horizontal 90° para canaleta 73x25mm. Ref. Dutotec DT 35130.01 / DT 35140.00</t>
  </si>
  <si>
    <t>Contrato HCPA 416437</t>
  </si>
  <si>
    <t>Geração Com. Informática</t>
  </si>
  <si>
    <t>Cotação 27</t>
  </si>
  <si>
    <t>Cotação 28</t>
  </si>
  <si>
    <t>Cotação 29</t>
  </si>
  <si>
    <t>Cotação 30</t>
  </si>
  <si>
    <t>Cotação 31</t>
  </si>
  <si>
    <t>Junção em "T" para perfilado 38x38mm, em chapa de aço</t>
  </si>
  <si>
    <t>Perfilado perfurado em chapa de aço #14 USG (1,98mm), dimensões 19x38mm (valor por metro)</t>
  </si>
  <si>
    <t>Canaleta de alumínio duplo 73x25mm, acabamento anodizado fosco. Ref. Dutotec DT 12210.00 (valor por metro)</t>
  </si>
  <si>
    <t>Tampa de canaleta de alumínio ranhurada 73x25mm, acabamento anodizado fosco. Ref. Dutotec DT 15010.00 (valor por metro)</t>
  </si>
  <si>
    <t>06.07.15</t>
  </si>
  <si>
    <t>06.07.16</t>
  </si>
  <si>
    <t>06.07.17</t>
  </si>
  <si>
    <t>04.08.18</t>
  </si>
  <si>
    <t>04.08.19</t>
  </si>
  <si>
    <t>04.08.20</t>
  </si>
  <si>
    <t>SINAPI - COMPOSIÇÃO</t>
  </si>
  <si>
    <t>INSUMO</t>
  </si>
  <si>
    <t>SELADOR ACRILICO OPACO PREMIUM INTERIOR/EXTERIOR</t>
  </si>
  <si>
    <t>COMPOSICAO</t>
  </si>
  <si>
    <t>H</t>
  </si>
  <si>
    <t>SERVENTE COM ENCARGOS COMPLEMENTARES</t>
  </si>
  <si>
    <t/>
  </si>
  <si>
    <t>TINTA ACRILICA PREMIUM, COR BRANCO FOSCO</t>
  </si>
  <si>
    <t>LIXA EM FOLHA PARA PAREDE OU MADEIRA, NUMERO 120 (COR VERMELHA)</t>
  </si>
  <si>
    <t>UN</t>
  </si>
  <si>
    <t>!EM PROCESSO DE DESATIVACAO! MASSA CORRIDA PVA PARA PAREDES INTERNAS</t>
  </si>
  <si>
    <t>GL</t>
  </si>
  <si>
    <t>ENGENHEIRO CIVIL DE OBRA PLENO</t>
  </si>
  <si>
    <t>EXAMES - HORISTA (COLETADO CAIXA)</t>
  </si>
  <si>
    <t>SEGURO - HORISTA (COLETADO CAIXA)</t>
  </si>
  <si>
    <t>FERRAMENTAS - FAMILIA ENGENHEIRO CIVIL - HORISTA (ENCARGOS COMPLEMENTARES - COLETADO CAIXA)</t>
  </si>
  <si>
    <t>EPI - FAMILIA ENGENHEIRO CIVIL - HORISTA (ENCARGOS COMPLEMENTARES - COLETADO CAIXA)</t>
  </si>
  <si>
    <t>CURSO DE CAPACITAÇÃO PARA ENGENHEIRO CIVIL DE OBRA PLENO (ENCARGOS COMPLEMENTARES) - HORISTA</t>
  </si>
  <si>
    <t>MES</t>
  </si>
  <si>
    <t>MESTRE DE OBRAS (MENSALISTA)</t>
  </si>
  <si>
    <t>EXAMES - MENSALISTA (COLETADO CAIXA)</t>
  </si>
  <si>
    <t>SEGURO - MENSALISTA (COLETADO CAIXA)</t>
  </si>
  <si>
    <t>FERRAMENTAS - FAMILIA ENCARREGADO GERAL - MENSALISTA (ENCARGOS COMPLEMENTARES - COLETADO CAIXA)</t>
  </si>
  <si>
    <t>EPI - FAMILIA ENCARREGADO GERAL - MENSALISTA (ENCARGOS COMPLEMENTARES - COLETADO CAIXA)</t>
  </si>
  <si>
    <t>CURSO DE CAPACITAÇÃO PARA MESTRE DE OBRAS (ENCARGOS COMPLEMENTARES) - MENSALISTA</t>
  </si>
  <si>
    <t>ARAME GALVANIZADO 18 BWG, D = 1,24MM (0,009 KG/M)</t>
  </si>
  <si>
    <t>KG</t>
  </si>
  <si>
    <t>GESSO EM PO PARA REVESTIMENTOS/MOLDURAS/SANCAS E USO GERAL</t>
  </si>
  <si>
    <t>PLACA DE GESSO PARA FORRO, *60 X 60* CM, ESPESSURA DE 12 MM (SEM COLOCACAO)</t>
  </si>
  <si>
    <t>SISAL EM FIBRA</t>
  </si>
  <si>
    <t>PARAFUSO ZINCADO, AUTOBROCANTE, FLANGEADO, 4,2 MM X 19 MM</t>
  </si>
  <si>
    <t>CENTO</t>
  </si>
  <si>
    <t>PAREDE COM PLACAS DE GESSO ACARTONADO (DRYWALL), PARA USO INTERNO, COM DUAS FACES SIMPLES E ESTRUTURA METÁLICA COM GUIAS SIMPLES, SEM VÃOS. AF_06/2017_P</t>
  </si>
  <si>
    <t>PINO DE ACO COM ARRUELA CONICA, DIAMETRO ARRUELA = *23* MM E COMP HASTE = *27* MM (ACAO INDIRETA)</t>
  </si>
  <si>
    <t>PLACA / CHAPA DE GESSO ACARTONADO, STANDARD (ST), COR BRANCA, E = 12,5 MM, 1200 X 2400 MM (L X C)</t>
  </si>
  <si>
    <t>PERFIL GUIA, FORMATO U, EM ACO ZINCADO, PARA ESTRUTURA PAREDE DRYWALL, E = 0,5 MM, 70 X 3000 MM (L X C)</t>
  </si>
  <si>
    <t>PERFIL MONTANTE, FORMATO C, EM ACO ZINCADO, PARA ESTRUTURA PAREDE DRYWALL, E = 0,5 MM, 70 X 3000 MM (L X C)</t>
  </si>
  <si>
    <t>MASSA DE REJUNTE EM PO PARA DRYWALL, A BASE DE GESSO, SECAGEM RAPIDA, PARA TRATAMENTO DE JUNTAS DE CHAPA DE GESSO (NECESSITA ADICAO DE AGUA)</t>
  </si>
  <si>
    <t>PARAFUSO DRY WALL, EM ACO FOSFATIZADO, CABECA TROMBETA E PONTA AGULHA (TA), COMPRIMENTO 25 MM</t>
  </si>
  <si>
    <t>PARAFUSO DRY WALL, EM ACO ZINCADO, CABECA LENTILHA E PONTA BROCA (LB), LARGURA 4,2 MM, COMPRIMENTO 13 MM</t>
  </si>
  <si>
    <t>MONTADOR DE ESTRUTURA METÁLICA COM ENCARGOS COMPLEMENTARES</t>
  </si>
  <si>
    <t>PAREDE COM PLACAS DE GESSO ACARTONADO (DRYWALL), PARA USO INTERNO, COM DUAS FACES SIMPLES E ESTRUTURA METÁLICA COM GUIAS SIMPLES, COM VÃOS AF_06/2017_P</t>
  </si>
  <si>
    <t>TABUA APARELHADA *2,5 X 25* CM, EM MACARANDUBA, ANGELIM OU EQUIVALENTE DA REGIAO</t>
  </si>
  <si>
    <t>REMOÇÃO DE CHAPAS E PERFIS DE DRYWALL, DE FORMA MANUAL, SEM REAPROVEITAMENTO. AF_12/2017</t>
  </si>
  <si>
    <t>PEDREIRO COM ENCARGOS COMPLEMENTARES</t>
  </si>
  <si>
    <t>PINTOR</t>
  </si>
  <si>
    <t>ALIMENTACAO - HORISTA (COLETADO CAIXA)</t>
  </si>
  <si>
    <t>TRANSPORTE - HORISTA (COLETADO CAIXA)</t>
  </si>
  <si>
    <t>FERRAMENTAS - FAMILIA PINTOR - HORISTA (ENCARGOS COMPLEMENTARES - COLETADO CAIXA)</t>
  </si>
  <si>
    <t>EPI - FAMILIA PINTOR - HORISTA (ENCARGOS COMPLEMENTARES - COLETADO CAIXA)</t>
  </si>
  <si>
    <t>CURSO DE CAPACITAÇÃO PARA PINTOR (ENCARGOS COMPLEMENTARES) - HORISTA</t>
  </si>
  <si>
    <t>SERVENTE DE OBRAS</t>
  </si>
  <si>
    <t>FERRAMENTAS - FAMILIA SERVENTE - HORISTA (ENCARGOS COMPLEMENTARES - COLETADO CAIXA)</t>
  </si>
  <si>
    <t>EPI - FAMILIA SERVENTE - HORISTA (ENCARGOS COMPLEMENTARES - COLETADO CAIXA)</t>
  </si>
  <si>
    <t>CURSO DE CAPACITAÇÃO PARA SERVENTE (ENCARGOS COMPLEMENTARES) - HORISTA</t>
  </si>
  <si>
    <t>GESSEIRO</t>
  </si>
  <si>
    <t>FERRAMENTAS - FAMILIA PEDREIRO - HORISTA (ENCARGOS COMPLEMENTARES - COLETADO CAIXA)</t>
  </si>
  <si>
    <t>EPI - FAMILIA PEDREIRO - HORISTA (ENCARGOS COMPLEMENTARES - COLETADO CAIXA)</t>
  </si>
  <si>
    <t>CURSO DE CAPACITAÇÃO PARA GESSEIRO (ENCARGOS COMPLEMENTARES) - HORISTA</t>
  </si>
  <si>
    <t>MONTADOR DE ESTRUTURAS METALICAS</t>
  </si>
  <si>
    <t>FERRAMENTAS - FAMILIA OPERADOR ESCAVADEIRA - HORISTA (ENCARGOS COMPLEMENTARES - COLETADO CAIXA)</t>
  </si>
  <si>
    <t>EPI - FAMILIA OPERADOR ESCAVADEIRA - HORISTA (ENCARGOS COMPLEMENTARES - COLETADO CAIXA)</t>
  </si>
  <si>
    <t>CURSO DE CAPACITAÇÃO PARA MONTADOR DE ESTRUTURA METÁLICA (ENCARGOS COMPLEMENTARES) - HORISTA</t>
  </si>
  <si>
    <t>PEDREIRO</t>
  </si>
  <si>
    <t>CURSO DE CAPACITAÇÃO PARA PEDREIRO (ENCARGOS COMPLEMENTARES) - HORISTA</t>
  </si>
  <si>
    <t>NR - 18</t>
  </si>
  <si>
    <t>VB</t>
  </si>
  <si>
    <t>ADICIONAL DE INSALUBRIDADE GRAU MÉDIO</t>
  </si>
  <si>
    <t xml:space="preserve">LOCACAO DE CONTAINER 2,30  X  6,00 M, ALT. 2,50 M, COM 1 SANITARIO, PARA ESCRITORIO, COMPLETO, SEM DIVISORIAS INTERNAS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</si>
  <si>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   </t>
  </si>
  <si>
    <t>SINAPI - INSUMO</t>
  </si>
  <si>
    <t>MESTRE DE OBRAS</t>
  </si>
  <si>
    <t>FERRAMENTAS - FAMILIA ENCARREGADO GERAL - HORISTA (ENCARGOS COMPLEMENTARES - COLETADO CAIXA)</t>
  </si>
  <si>
    <t>EPI - FAMILIA ENCARREGADO GERAL - HORISTA (ENCARGOS COMPLEMENTARES - COLETADO CAIXA)</t>
  </si>
  <si>
    <t>CURSO DE CAPACITAÇÃO PARA MESTRE DE OBRAS (ENCARGOS COMPLEMENTARES) - HORISTA</t>
  </si>
  <si>
    <t>Total M.O</t>
  </si>
  <si>
    <t>Total MAT</t>
  </si>
  <si>
    <t>PARAFUSO DE ACO ZINCADO COM ROSCA SOBERBA, CABECA CHATA E FENDA SIMPLES, DIAMETRO 4,2 MM, COMPRIMENTO * 32 * MM</t>
  </si>
  <si>
    <t>SILICONE ACETICO USO GERAL INCOLOR 280 G</t>
  </si>
  <si>
    <t xml:space="preserve">V 1 -  VISOR DIM 1.00X1.20M, COM VIDRO 3+3, QUADRO EM PERFIL "U" NA COR BRANCA. </t>
  </si>
  <si>
    <t xml:space="preserve">V 1' -  VISOR DIM 2,20X1.20M, COM VIDRO 3+3, QUADRO EM PERFIL "U" NA COR BRANCA. </t>
  </si>
  <si>
    <t xml:space="preserve">V 2 -  VISOR DIM 3,18X1,00M, COM VIDRO 3+3, QUADRO EM PERFIL "U" NA COR BRANCA. </t>
  </si>
  <si>
    <t>COTAÇÃO 01</t>
  </si>
  <si>
    <t>VISOR EM VIDRO 3+3 COM PBV, REQUADRO EM ALUMÍNIO COM PERFIL U</t>
  </si>
  <si>
    <t>790 o m²</t>
  </si>
  <si>
    <t>HCPA - 50</t>
  </si>
  <si>
    <t>HCPA - 51</t>
  </si>
  <si>
    <t>HCPA - 52</t>
  </si>
  <si>
    <t>SINAPI - COMPOSIÇÃO 100674</t>
  </si>
  <si>
    <t>Sinapi 08/21</t>
  </si>
  <si>
    <t>Móveis Lara - Orçamento (54) 3321 1579</t>
  </si>
  <si>
    <t>Mês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</si>
</sst>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[$R$ -416]#,##0.00"/>
    <numFmt numFmtId="166" formatCode="#00"/>
    <numFmt numFmtId="167" formatCode="_(* #,##0.00_);_(* \(#,##0.00\);_(* &quot;-&quot;??_);_(@_)"/>
    <numFmt numFmtId="168" formatCode="_(&quot;R$ &quot;* #,##0.00_);_(&quot;R$ &quot;* \(#,##0.00\);_(&quot;R$ &quot;* &quot;-&quot;??_);_(@_)"/>
    <numFmt numFmtId="169" formatCode="_([$€-2]* #,##0.00_);_([$€-2]* \(#,##0.00\);_([$€-2]* &quot;-&quot;??_)"/>
    <numFmt numFmtId="170" formatCode="#,##0.00;[Red]#,##0.00"/>
    <numFmt numFmtId="171" formatCode="#,##0;[Red]#,##0"/>
    <numFmt numFmtId="172" formatCode="0.000"/>
    <numFmt numFmtId="173" formatCode="0.0000"/>
  </numFmts>
  <fonts count="114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rial"/>
      <family val="2"/>
    </font>
    <font>
      <sz val="16"/>
      <name val="Arial"/>
      <family val="2"/>
    </font>
    <font>
      <b/>
      <sz val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7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8"/>
      <color indexed="52"/>
      <name val="Arial"/>
      <family val="2"/>
    </font>
    <font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9"/>
      <color indexed="10"/>
      <name val="Geneva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theme="0" tint="-0.499984740745262"/>
      <name val="Arial"/>
      <family val="2"/>
    </font>
    <font>
      <b/>
      <sz val="8"/>
      <color rgb="FFCCFFCC"/>
      <name val="Arial"/>
      <family val="2"/>
    </font>
    <font>
      <sz val="9"/>
      <color indexed="10"/>
      <name val="Genev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color theme="3"/>
      <name val="Arial Narrow"/>
      <family val="2"/>
    </font>
    <font>
      <sz val="10"/>
      <color theme="3"/>
      <name val="Arial"/>
      <family val="2"/>
    </font>
    <font>
      <b/>
      <sz val="9"/>
      <color theme="3"/>
      <name val="Arial Narrow"/>
      <family val="2"/>
    </font>
    <font>
      <sz val="9"/>
      <color indexed="10"/>
      <name val="Arial Narrow"/>
      <family val="2"/>
    </font>
    <font>
      <sz val="9"/>
      <color indexed="10"/>
      <name val="Geneva"/>
      <charset val="134"/>
    </font>
    <font>
      <b/>
      <sz val="18"/>
      <color indexed="56"/>
      <name val="Cambria"/>
      <family val="1"/>
    </font>
    <font>
      <b/>
      <sz val="18"/>
      <color indexed="62"/>
      <name val="Cambria"/>
      <family val="1"/>
    </font>
    <font>
      <b/>
      <sz val="18"/>
      <color theme="3"/>
      <name val="Cambria"/>
      <family val="1"/>
      <scheme val="major"/>
    </font>
  </fonts>
  <fills count="12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medium">
        <color rgb="FF000000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9"/>
      </right>
      <top style="thin">
        <color indexed="64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ck">
        <color indexed="9"/>
      </left>
      <right style="thin">
        <color indexed="64"/>
      </right>
      <top style="thin">
        <color indexed="64"/>
      </top>
      <bottom style="thick">
        <color indexed="9"/>
      </bottom>
      <diagonal/>
    </border>
    <border>
      <left style="thin">
        <color indexed="64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 style="thin">
        <color indexed="64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theme="4" tint="0.39994506668294322"/>
      </bottom>
      <diagonal/>
    </border>
  </borders>
  <cellStyleXfs count="2731">
    <xf numFmtId="0" fontId="0" fillId="0" borderId="0"/>
    <xf numFmtId="0" fontId="22" fillId="0" borderId="32"/>
    <xf numFmtId="167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0" fontId="7" fillId="0" borderId="32"/>
    <xf numFmtId="0" fontId="23" fillId="0" borderId="32" applyNumberFormat="0" applyFill="0" applyBorder="0" applyAlignment="0" applyProtection="0"/>
    <xf numFmtId="0" fontId="6" fillId="0" borderId="32"/>
    <xf numFmtId="167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44" fontId="6" fillId="0" borderId="32" applyFont="0" applyFill="0" applyBorder="0" applyAlignment="0" applyProtection="0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6" fillId="0" borderId="32" applyFont="0" applyFill="0" applyBorder="0" applyAlignment="0" applyProtection="0"/>
    <xf numFmtId="0" fontId="21" fillId="0" borderId="32"/>
    <xf numFmtId="0" fontId="7" fillId="0" borderId="32"/>
    <xf numFmtId="0" fontId="6" fillId="0" borderId="32"/>
    <xf numFmtId="0" fontId="7" fillId="0" borderId="32"/>
    <xf numFmtId="0" fontId="25" fillId="4" borderId="32" applyNumberFormat="0" applyBorder="0" applyAlignment="0" applyProtection="0"/>
    <xf numFmtId="0" fontId="25" fillId="5" borderId="32" applyNumberFormat="0" applyBorder="0" applyAlignment="0" applyProtection="0"/>
    <xf numFmtId="0" fontId="25" fillId="6" borderId="32" applyNumberFormat="0" applyBorder="0" applyAlignment="0" applyProtection="0"/>
    <xf numFmtId="0" fontId="25" fillId="7" borderId="32" applyNumberFormat="0" applyBorder="0" applyAlignment="0" applyProtection="0"/>
    <xf numFmtId="0" fontId="25" fillId="8" borderId="32" applyNumberFormat="0" applyBorder="0" applyAlignment="0" applyProtection="0"/>
    <xf numFmtId="0" fontId="25" fillId="9" borderId="32" applyNumberFormat="0" applyBorder="0" applyAlignment="0" applyProtection="0"/>
    <xf numFmtId="0" fontId="25" fillId="10" borderId="32" applyNumberFormat="0" applyBorder="0" applyAlignment="0" applyProtection="0"/>
    <xf numFmtId="0" fontId="25" fillId="11" borderId="32" applyNumberFormat="0" applyBorder="0" applyAlignment="0" applyProtection="0"/>
    <xf numFmtId="0" fontId="25" fillId="12" borderId="32" applyNumberFormat="0" applyBorder="0" applyAlignment="0" applyProtection="0"/>
    <xf numFmtId="0" fontId="25" fillId="7" borderId="32" applyNumberFormat="0" applyBorder="0" applyAlignment="0" applyProtection="0"/>
    <xf numFmtId="0" fontId="25" fillId="10" borderId="32" applyNumberFormat="0" applyBorder="0" applyAlignment="0" applyProtection="0"/>
    <xf numFmtId="0" fontId="25" fillId="13" borderId="32" applyNumberFormat="0" applyBorder="0" applyAlignment="0" applyProtection="0"/>
    <xf numFmtId="0" fontId="26" fillId="14" borderId="32" applyNumberFormat="0" applyBorder="0" applyAlignment="0" applyProtection="0"/>
    <xf numFmtId="0" fontId="26" fillId="11" borderId="32" applyNumberFormat="0" applyBorder="0" applyAlignment="0" applyProtection="0"/>
    <xf numFmtId="0" fontId="26" fillId="12" borderId="32" applyNumberFormat="0" applyBorder="0" applyAlignment="0" applyProtection="0"/>
    <xf numFmtId="0" fontId="26" fillId="15" borderId="32" applyNumberFormat="0" applyBorder="0" applyAlignment="0" applyProtection="0"/>
    <xf numFmtId="0" fontId="26" fillId="16" borderId="32" applyNumberFormat="0" applyBorder="0" applyAlignment="0" applyProtection="0"/>
    <xf numFmtId="0" fontId="26" fillId="17" borderId="32" applyNumberFormat="0" applyBorder="0" applyAlignment="0" applyProtection="0"/>
    <xf numFmtId="0" fontId="27" fillId="6" borderId="32" applyNumberFormat="0" applyBorder="0" applyAlignment="0" applyProtection="0"/>
    <xf numFmtId="0" fontId="28" fillId="18" borderId="38" applyNumberFormat="0" applyAlignment="0" applyProtection="0"/>
    <xf numFmtId="0" fontId="29" fillId="19" borderId="39" applyNumberFormat="0" applyAlignment="0" applyProtection="0"/>
    <xf numFmtId="0" fontId="30" fillId="0" borderId="40" applyNumberFormat="0" applyFill="0" applyAlignment="0" applyProtection="0"/>
    <xf numFmtId="0" fontId="26" fillId="20" borderId="32" applyNumberFormat="0" applyBorder="0" applyAlignment="0" applyProtection="0"/>
    <xf numFmtId="0" fontId="26" fillId="21" borderId="32" applyNumberFormat="0" applyBorder="0" applyAlignment="0" applyProtection="0"/>
    <xf numFmtId="0" fontId="26" fillId="22" borderId="32" applyNumberFormat="0" applyBorder="0" applyAlignment="0" applyProtection="0"/>
    <xf numFmtId="0" fontId="26" fillId="15" borderId="32" applyNumberFormat="0" applyBorder="0" applyAlignment="0" applyProtection="0"/>
    <xf numFmtId="0" fontId="26" fillId="16" borderId="32" applyNumberFormat="0" applyBorder="0" applyAlignment="0" applyProtection="0"/>
    <xf numFmtId="0" fontId="26" fillId="23" borderId="32" applyNumberFormat="0" applyBorder="0" applyAlignment="0" applyProtection="0"/>
    <xf numFmtId="0" fontId="31" fillId="9" borderId="38" applyNumberFormat="0" applyAlignment="0" applyProtection="0"/>
    <xf numFmtId="0" fontId="32" fillId="5" borderId="32" applyNumberFormat="0" applyBorder="0" applyAlignment="0" applyProtection="0"/>
    <xf numFmtId="0" fontId="33" fillId="24" borderId="32" applyNumberFormat="0" applyBorder="0" applyAlignment="0" applyProtection="0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25" fillId="25" borderId="41" applyNumberFormat="0" applyFont="0" applyAlignment="0" applyProtection="0"/>
    <xf numFmtId="9" fontId="7" fillId="0" borderId="32" applyFont="0" applyFill="0" applyBorder="0" applyAlignment="0" applyProtection="0"/>
    <xf numFmtId="0" fontId="34" fillId="18" borderId="42" applyNumberFormat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0" fontId="35" fillId="0" borderId="32" applyNumberFormat="0" applyFill="0" applyBorder="0" applyAlignment="0" applyProtection="0"/>
    <xf numFmtId="0" fontId="36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38" fillId="0" borderId="43" applyNumberFormat="0" applyFill="0" applyAlignment="0" applyProtection="0"/>
    <xf numFmtId="0" fontId="39" fillId="0" borderId="44" applyNumberFormat="0" applyFill="0" applyAlignment="0" applyProtection="0"/>
    <xf numFmtId="0" fontId="40" fillId="0" borderId="45" applyNumberFormat="0" applyFill="0" applyAlignment="0" applyProtection="0"/>
    <xf numFmtId="0" fontId="40" fillId="0" borderId="32" applyNumberFormat="0" applyFill="0" applyBorder="0" applyAlignment="0" applyProtection="0"/>
    <xf numFmtId="0" fontId="41" fillId="0" borderId="46" applyNumberFormat="0" applyFill="0" applyAlignment="0" applyProtection="0"/>
    <xf numFmtId="167" fontId="7" fillId="0" borderId="32" applyFont="0" applyFill="0" applyBorder="0" applyAlignment="0" applyProtection="0"/>
    <xf numFmtId="0" fontId="43" fillId="0" borderId="32"/>
    <xf numFmtId="44" fontId="5" fillId="0" borderId="32" applyFont="0" applyFill="0" applyBorder="0" applyAlignment="0" applyProtection="0"/>
    <xf numFmtId="0" fontId="7" fillId="0" borderId="32"/>
    <xf numFmtId="0" fontId="5" fillId="0" borderId="32"/>
    <xf numFmtId="9" fontId="43" fillId="0" borderId="32" applyFont="0" applyFill="0" applyBorder="0" applyAlignment="0" applyProtection="0"/>
    <xf numFmtId="9" fontId="7" fillId="0" borderId="32" applyFont="0" applyFill="0" applyBorder="0" applyAlignment="0" applyProtection="0"/>
    <xf numFmtId="167" fontId="43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5" fillId="0" borderId="32" applyFont="0" applyFill="0" applyBorder="0" applyAlignment="0" applyProtection="0"/>
    <xf numFmtId="0" fontId="60" fillId="4" borderId="32" applyNumberFormat="0" applyBorder="0" applyAlignment="0" applyProtection="0"/>
    <xf numFmtId="169" fontId="60" fillId="4" borderId="32" applyNumberFormat="0" applyBorder="0" applyAlignment="0" applyProtection="0"/>
    <xf numFmtId="0" fontId="60" fillId="5" borderId="32" applyNumberFormat="0" applyBorder="0" applyAlignment="0" applyProtection="0"/>
    <xf numFmtId="169" fontId="60" fillId="5" borderId="32" applyNumberFormat="0" applyBorder="0" applyAlignment="0" applyProtection="0"/>
    <xf numFmtId="0" fontId="60" fillId="6" borderId="32" applyNumberFormat="0" applyBorder="0" applyAlignment="0" applyProtection="0"/>
    <xf numFmtId="169" fontId="60" fillId="6" borderId="32" applyNumberFormat="0" applyBorder="0" applyAlignment="0" applyProtection="0"/>
    <xf numFmtId="0" fontId="60" fillId="7" borderId="32" applyNumberFormat="0" applyBorder="0" applyAlignment="0" applyProtection="0"/>
    <xf numFmtId="169" fontId="60" fillId="7" borderId="32" applyNumberFormat="0" applyBorder="0" applyAlignment="0" applyProtection="0"/>
    <xf numFmtId="0" fontId="60" fillId="8" borderId="32" applyNumberFormat="0" applyBorder="0" applyAlignment="0" applyProtection="0"/>
    <xf numFmtId="169" fontId="60" fillId="8" borderId="32" applyNumberFormat="0" applyBorder="0" applyAlignment="0" applyProtection="0"/>
    <xf numFmtId="0" fontId="60" fillId="9" borderId="32" applyNumberFormat="0" applyBorder="0" applyAlignment="0" applyProtection="0"/>
    <xf numFmtId="169" fontId="60" fillId="9" borderId="32" applyNumberFormat="0" applyBorder="0" applyAlignment="0" applyProtection="0"/>
    <xf numFmtId="0" fontId="60" fillId="10" borderId="32" applyNumberFormat="0" applyBorder="0" applyAlignment="0" applyProtection="0"/>
    <xf numFmtId="0" fontId="4" fillId="34" borderId="32" applyNumberFormat="0" applyBorder="0" applyAlignment="0" applyProtection="0"/>
    <xf numFmtId="0" fontId="25" fillId="4" borderId="32" applyNumberFormat="0" applyBorder="0" applyAlignment="0" applyProtection="0"/>
    <xf numFmtId="169" fontId="25" fillId="4" borderId="32" applyNumberFormat="0" applyBorder="0" applyAlignment="0" applyProtection="0"/>
    <xf numFmtId="0" fontId="4" fillId="34" borderId="32" applyNumberFormat="0" applyBorder="0" applyAlignment="0" applyProtection="0"/>
    <xf numFmtId="169" fontId="4" fillId="34" borderId="32" applyNumberFormat="0" applyBorder="0" applyAlignment="0" applyProtection="0"/>
    <xf numFmtId="0" fontId="4" fillId="34" borderId="32" applyNumberFormat="0" applyBorder="0" applyAlignment="0" applyProtection="0"/>
    <xf numFmtId="0" fontId="60" fillId="4" borderId="32" applyNumberFormat="0" applyBorder="0" applyAlignment="0" applyProtection="0"/>
    <xf numFmtId="169" fontId="4" fillId="34" borderId="32" applyNumberFormat="0" applyBorder="0" applyAlignment="0" applyProtection="0"/>
    <xf numFmtId="0" fontId="4" fillId="34" borderId="32" applyNumberFormat="0" applyBorder="0" applyAlignment="0" applyProtection="0"/>
    <xf numFmtId="0" fontId="60" fillId="4" borderId="32" applyNumberFormat="0" applyBorder="0" applyAlignment="0" applyProtection="0"/>
    <xf numFmtId="0" fontId="4" fillId="4" borderId="32" applyNumberFormat="0" applyBorder="0" applyAlignment="0" applyProtection="0"/>
    <xf numFmtId="0" fontId="4" fillId="4" borderId="32" applyNumberFormat="0" applyBorder="0" applyAlignment="0" applyProtection="0"/>
    <xf numFmtId="169" fontId="4" fillId="4" borderId="32" applyNumberFormat="0" applyBorder="0" applyAlignment="0" applyProtection="0"/>
    <xf numFmtId="0" fontId="4" fillId="4" borderId="32" applyNumberFormat="0" applyBorder="0" applyAlignment="0" applyProtection="0"/>
    <xf numFmtId="0" fontId="60" fillId="4" borderId="32" applyNumberFormat="0" applyBorder="0" applyAlignment="0" applyProtection="0"/>
    <xf numFmtId="169" fontId="4" fillId="4" borderId="32" applyNumberFormat="0" applyBorder="0" applyAlignment="0" applyProtection="0"/>
    <xf numFmtId="0" fontId="4" fillId="4" borderId="32" applyNumberFormat="0" applyBorder="0" applyAlignment="0" applyProtection="0"/>
    <xf numFmtId="0" fontId="60" fillId="4" borderId="32" applyNumberFormat="0" applyBorder="0" applyAlignment="0" applyProtection="0"/>
    <xf numFmtId="0" fontId="60" fillId="10" borderId="32" applyNumberFormat="0" applyBorder="0" applyAlignment="0" applyProtection="0"/>
    <xf numFmtId="169" fontId="60" fillId="10" borderId="32" applyNumberFormat="0" applyBorder="0" applyAlignment="0" applyProtection="0"/>
    <xf numFmtId="0" fontId="4" fillId="34" borderId="32" applyNumberFormat="0" applyBorder="0" applyAlignment="0" applyProtection="0"/>
    <xf numFmtId="0" fontId="4" fillId="34" borderId="32" applyNumberFormat="0" applyBorder="0" applyAlignment="0" applyProtection="0"/>
    <xf numFmtId="169" fontId="4" fillId="34" borderId="32" applyNumberFormat="0" applyBorder="0" applyAlignment="0" applyProtection="0"/>
    <xf numFmtId="0" fontId="4" fillId="34" borderId="32" applyNumberFormat="0" applyBorder="0" applyAlignment="0" applyProtection="0"/>
    <xf numFmtId="0" fontId="60" fillId="4" borderId="32" applyNumberFormat="0" applyBorder="0" applyAlignment="0" applyProtection="0"/>
    <xf numFmtId="169" fontId="4" fillId="34" borderId="32" applyNumberFormat="0" applyBorder="0" applyAlignment="0" applyProtection="0"/>
    <xf numFmtId="0" fontId="4" fillId="34" borderId="32" applyNumberFormat="0" applyBorder="0" applyAlignment="0" applyProtection="0"/>
    <xf numFmtId="0" fontId="60" fillId="4" borderId="32" applyNumberFormat="0" applyBorder="0" applyAlignment="0" applyProtection="0"/>
    <xf numFmtId="169" fontId="25" fillId="4" borderId="32" applyNumberFormat="0" applyBorder="0" applyAlignment="0" applyProtection="0"/>
    <xf numFmtId="0" fontId="4" fillId="34" borderId="32" applyNumberFormat="0" applyBorder="0" applyAlignment="0" applyProtection="0"/>
    <xf numFmtId="0" fontId="4" fillId="34" borderId="32" applyNumberFormat="0" applyBorder="0" applyAlignment="0" applyProtection="0"/>
    <xf numFmtId="0" fontId="60" fillId="10" borderId="32" applyNumberFormat="0" applyBorder="0" applyAlignment="0" applyProtection="0"/>
    <xf numFmtId="0" fontId="60" fillId="11" borderId="32" applyNumberFormat="0" applyBorder="0" applyAlignment="0" applyProtection="0"/>
    <xf numFmtId="0" fontId="4" fillId="38" borderId="32" applyNumberFormat="0" applyBorder="0" applyAlignment="0" applyProtection="0"/>
    <xf numFmtId="0" fontId="25" fillId="5" borderId="32" applyNumberFormat="0" applyBorder="0" applyAlignment="0" applyProtection="0"/>
    <xf numFmtId="169" fontId="25" fillId="5" borderId="32" applyNumberFormat="0" applyBorder="0" applyAlignment="0" applyProtection="0"/>
    <xf numFmtId="0" fontId="4" fillId="38" borderId="32" applyNumberFormat="0" applyBorder="0" applyAlignment="0" applyProtection="0"/>
    <xf numFmtId="169" fontId="4" fillId="38" borderId="32" applyNumberFormat="0" applyBorder="0" applyAlignment="0" applyProtection="0"/>
    <xf numFmtId="0" fontId="4" fillId="38" borderId="32" applyNumberFormat="0" applyBorder="0" applyAlignment="0" applyProtection="0"/>
    <xf numFmtId="0" fontId="60" fillId="5" borderId="32" applyNumberFormat="0" applyBorder="0" applyAlignment="0" applyProtection="0"/>
    <xf numFmtId="169" fontId="4" fillId="38" borderId="32" applyNumberFormat="0" applyBorder="0" applyAlignment="0" applyProtection="0"/>
    <xf numFmtId="0" fontId="4" fillId="38" borderId="32" applyNumberFormat="0" applyBorder="0" applyAlignment="0" applyProtection="0"/>
    <xf numFmtId="0" fontId="60" fillId="5" borderId="32" applyNumberFormat="0" applyBorder="0" applyAlignment="0" applyProtection="0"/>
    <xf numFmtId="0" fontId="4" fillId="5" borderId="32" applyNumberFormat="0" applyBorder="0" applyAlignment="0" applyProtection="0"/>
    <xf numFmtId="0" fontId="4" fillId="5" borderId="32" applyNumberFormat="0" applyBorder="0" applyAlignment="0" applyProtection="0"/>
    <xf numFmtId="169" fontId="4" fillId="5" borderId="32" applyNumberFormat="0" applyBorder="0" applyAlignment="0" applyProtection="0"/>
    <xf numFmtId="0" fontId="4" fillId="5" borderId="32" applyNumberFormat="0" applyBorder="0" applyAlignment="0" applyProtection="0"/>
    <xf numFmtId="0" fontId="60" fillId="5" borderId="32" applyNumberFormat="0" applyBorder="0" applyAlignment="0" applyProtection="0"/>
    <xf numFmtId="169" fontId="4" fillId="5" borderId="32" applyNumberFormat="0" applyBorder="0" applyAlignment="0" applyProtection="0"/>
    <xf numFmtId="0" fontId="4" fillId="5" borderId="32" applyNumberFormat="0" applyBorder="0" applyAlignment="0" applyProtection="0"/>
    <xf numFmtId="0" fontId="60" fillId="5" borderId="32" applyNumberFormat="0" applyBorder="0" applyAlignment="0" applyProtection="0"/>
    <xf numFmtId="0" fontId="60" fillId="11" borderId="32" applyNumberFormat="0" applyBorder="0" applyAlignment="0" applyProtection="0"/>
    <xf numFmtId="169" fontId="60" fillId="11" borderId="32" applyNumberFormat="0" applyBorder="0" applyAlignment="0" applyProtection="0"/>
    <xf numFmtId="0" fontId="4" fillId="38" borderId="32" applyNumberFormat="0" applyBorder="0" applyAlignment="0" applyProtection="0"/>
    <xf numFmtId="0" fontId="4" fillId="38" borderId="32" applyNumberFormat="0" applyBorder="0" applyAlignment="0" applyProtection="0"/>
    <xf numFmtId="169" fontId="4" fillId="38" borderId="32" applyNumberFormat="0" applyBorder="0" applyAlignment="0" applyProtection="0"/>
    <xf numFmtId="0" fontId="4" fillId="38" borderId="32" applyNumberFormat="0" applyBorder="0" applyAlignment="0" applyProtection="0"/>
    <xf numFmtId="0" fontId="60" fillId="5" borderId="32" applyNumberFormat="0" applyBorder="0" applyAlignment="0" applyProtection="0"/>
    <xf numFmtId="169" fontId="4" fillId="38" borderId="32" applyNumberFormat="0" applyBorder="0" applyAlignment="0" applyProtection="0"/>
    <xf numFmtId="0" fontId="4" fillId="38" borderId="32" applyNumberFormat="0" applyBorder="0" applyAlignment="0" applyProtection="0"/>
    <xf numFmtId="0" fontId="60" fillId="5" borderId="32" applyNumberFormat="0" applyBorder="0" applyAlignment="0" applyProtection="0"/>
    <xf numFmtId="169" fontId="25" fillId="5" borderId="32" applyNumberFormat="0" applyBorder="0" applyAlignment="0" applyProtection="0"/>
    <xf numFmtId="0" fontId="4" fillId="38" borderId="32" applyNumberFormat="0" applyBorder="0" applyAlignment="0" applyProtection="0"/>
    <xf numFmtId="0" fontId="4" fillId="38" borderId="32" applyNumberFormat="0" applyBorder="0" applyAlignment="0" applyProtection="0"/>
    <xf numFmtId="0" fontId="60" fillId="11" borderId="32" applyNumberFormat="0" applyBorder="0" applyAlignment="0" applyProtection="0"/>
    <xf numFmtId="0" fontId="60" fillId="25" borderId="32" applyNumberFormat="0" applyBorder="0" applyAlignment="0" applyProtection="0"/>
    <xf numFmtId="0" fontId="4" fillId="42" borderId="32" applyNumberFormat="0" applyBorder="0" applyAlignment="0" applyProtection="0"/>
    <xf numFmtId="0" fontId="25" fillId="6" borderId="32" applyNumberFormat="0" applyBorder="0" applyAlignment="0" applyProtection="0"/>
    <xf numFmtId="169" fontId="25" fillId="6" borderId="32" applyNumberFormat="0" applyBorder="0" applyAlignment="0" applyProtection="0"/>
    <xf numFmtId="0" fontId="4" fillId="42" borderId="32" applyNumberFormat="0" applyBorder="0" applyAlignment="0" applyProtection="0"/>
    <xf numFmtId="169" fontId="4" fillId="42" borderId="32" applyNumberFormat="0" applyBorder="0" applyAlignment="0" applyProtection="0"/>
    <xf numFmtId="0" fontId="4" fillId="42" borderId="32" applyNumberFormat="0" applyBorder="0" applyAlignment="0" applyProtection="0"/>
    <xf numFmtId="0" fontId="60" fillId="6" borderId="32" applyNumberFormat="0" applyBorder="0" applyAlignment="0" applyProtection="0"/>
    <xf numFmtId="169" fontId="4" fillId="42" borderId="32" applyNumberFormat="0" applyBorder="0" applyAlignment="0" applyProtection="0"/>
    <xf numFmtId="0" fontId="4" fillId="42" borderId="32" applyNumberFormat="0" applyBorder="0" applyAlignment="0" applyProtection="0"/>
    <xf numFmtId="0" fontId="60" fillId="6" borderId="32" applyNumberFormat="0" applyBorder="0" applyAlignment="0" applyProtection="0"/>
    <xf numFmtId="0" fontId="4" fillId="6" borderId="32" applyNumberFormat="0" applyBorder="0" applyAlignment="0" applyProtection="0"/>
    <xf numFmtId="0" fontId="4" fillId="6" borderId="32" applyNumberFormat="0" applyBorder="0" applyAlignment="0" applyProtection="0"/>
    <xf numFmtId="169" fontId="4" fillId="6" borderId="32" applyNumberFormat="0" applyBorder="0" applyAlignment="0" applyProtection="0"/>
    <xf numFmtId="0" fontId="4" fillId="6" borderId="32" applyNumberFormat="0" applyBorder="0" applyAlignment="0" applyProtection="0"/>
    <xf numFmtId="0" fontId="60" fillId="6" borderId="32" applyNumberFormat="0" applyBorder="0" applyAlignment="0" applyProtection="0"/>
    <xf numFmtId="169" fontId="4" fillId="6" borderId="32" applyNumberFormat="0" applyBorder="0" applyAlignment="0" applyProtection="0"/>
    <xf numFmtId="0" fontId="4" fillId="6" borderId="32" applyNumberFormat="0" applyBorder="0" applyAlignment="0" applyProtection="0"/>
    <xf numFmtId="0" fontId="60" fillId="6" borderId="32" applyNumberFormat="0" applyBorder="0" applyAlignment="0" applyProtection="0"/>
    <xf numFmtId="0" fontId="60" fillId="25" borderId="32" applyNumberFormat="0" applyBorder="0" applyAlignment="0" applyProtection="0"/>
    <xf numFmtId="169" fontId="60" fillId="25" borderId="32" applyNumberFormat="0" applyBorder="0" applyAlignment="0" applyProtection="0"/>
    <xf numFmtId="0" fontId="4" fillId="42" borderId="32" applyNumberFormat="0" applyBorder="0" applyAlignment="0" applyProtection="0"/>
    <xf numFmtId="0" fontId="4" fillId="42" borderId="32" applyNumberFormat="0" applyBorder="0" applyAlignment="0" applyProtection="0"/>
    <xf numFmtId="169" fontId="4" fillId="42" borderId="32" applyNumberFormat="0" applyBorder="0" applyAlignment="0" applyProtection="0"/>
    <xf numFmtId="0" fontId="4" fillId="42" borderId="32" applyNumberFormat="0" applyBorder="0" applyAlignment="0" applyProtection="0"/>
    <xf numFmtId="0" fontId="60" fillId="6" borderId="32" applyNumberFormat="0" applyBorder="0" applyAlignment="0" applyProtection="0"/>
    <xf numFmtId="169" fontId="4" fillId="42" borderId="32" applyNumberFormat="0" applyBorder="0" applyAlignment="0" applyProtection="0"/>
    <xf numFmtId="0" fontId="4" fillId="42" borderId="32" applyNumberFormat="0" applyBorder="0" applyAlignment="0" applyProtection="0"/>
    <xf numFmtId="0" fontId="60" fillId="6" borderId="32" applyNumberFormat="0" applyBorder="0" applyAlignment="0" applyProtection="0"/>
    <xf numFmtId="169" fontId="25" fillId="6" borderId="32" applyNumberFormat="0" applyBorder="0" applyAlignment="0" applyProtection="0"/>
    <xf numFmtId="0" fontId="4" fillId="42" borderId="32" applyNumberFormat="0" applyBorder="0" applyAlignment="0" applyProtection="0"/>
    <xf numFmtId="0" fontId="4" fillId="42" borderId="32" applyNumberFormat="0" applyBorder="0" applyAlignment="0" applyProtection="0"/>
    <xf numFmtId="0" fontId="60" fillId="25" borderId="32" applyNumberFormat="0" applyBorder="0" applyAlignment="0" applyProtection="0"/>
    <xf numFmtId="0" fontId="60" fillId="9" borderId="32" applyNumberFormat="0" applyBorder="0" applyAlignment="0" applyProtection="0"/>
    <xf numFmtId="0" fontId="4" fillId="46" borderId="32" applyNumberFormat="0" applyBorder="0" applyAlignment="0" applyProtection="0"/>
    <xf numFmtId="0" fontId="25" fillId="7" borderId="32" applyNumberFormat="0" applyBorder="0" applyAlignment="0" applyProtection="0"/>
    <xf numFmtId="169" fontId="25" fillId="7" borderId="32" applyNumberFormat="0" applyBorder="0" applyAlignment="0" applyProtection="0"/>
    <xf numFmtId="0" fontId="4" fillId="46" borderId="32" applyNumberFormat="0" applyBorder="0" applyAlignment="0" applyProtection="0"/>
    <xf numFmtId="169" fontId="4" fillId="46" borderId="32" applyNumberFormat="0" applyBorder="0" applyAlignment="0" applyProtection="0"/>
    <xf numFmtId="0" fontId="4" fillId="46" borderId="32" applyNumberFormat="0" applyBorder="0" applyAlignment="0" applyProtection="0"/>
    <xf numFmtId="0" fontId="60" fillId="7" borderId="32" applyNumberFormat="0" applyBorder="0" applyAlignment="0" applyProtection="0"/>
    <xf numFmtId="169" fontId="4" fillId="46" borderId="32" applyNumberFormat="0" applyBorder="0" applyAlignment="0" applyProtection="0"/>
    <xf numFmtId="0" fontId="4" fillId="46" borderId="32" applyNumberFormat="0" applyBorder="0" applyAlignment="0" applyProtection="0"/>
    <xf numFmtId="0" fontId="60" fillId="7" borderId="32" applyNumberFormat="0" applyBorder="0" applyAlignment="0" applyProtection="0"/>
    <xf numFmtId="0" fontId="4" fillId="7" borderId="32" applyNumberFormat="0" applyBorder="0" applyAlignment="0" applyProtection="0"/>
    <xf numFmtId="0" fontId="4" fillId="7" borderId="32" applyNumberFormat="0" applyBorder="0" applyAlignment="0" applyProtection="0"/>
    <xf numFmtId="169" fontId="4" fillId="7" borderId="32" applyNumberFormat="0" applyBorder="0" applyAlignment="0" applyProtection="0"/>
    <xf numFmtId="0" fontId="4" fillId="7" borderId="32" applyNumberFormat="0" applyBorder="0" applyAlignment="0" applyProtection="0"/>
    <xf numFmtId="0" fontId="60" fillId="7" borderId="32" applyNumberFormat="0" applyBorder="0" applyAlignment="0" applyProtection="0"/>
    <xf numFmtId="169" fontId="4" fillId="7" borderId="32" applyNumberFormat="0" applyBorder="0" applyAlignment="0" applyProtection="0"/>
    <xf numFmtId="0" fontId="4" fillId="7" borderId="32" applyNumberFormat="0" applyBorder="0" applyAlignment="0" applyProtection="0"/>
    <xf numFmtId="0" fontId="60" fillId="7" borderId="32" applyNumberFormat="0" applyBorder="0" applyAlignment="0" applyProtection="0"/>
    <xf numFmtId="0" fontId="60" fillId="9" borderId="32" applyNumberFormat="0" applyBorder="0" applyAlignment="0" applyProtection="0"/>
    <xf numFmtId="169" fontId="60" fillId="9" borderId="32" applyNumberFormat="0" applyBorder="0" applyAlignment="0" applyProtection="0"/>
    <xf numFmtId="0" fontId="4" fillId="46" borderId="32" applyNumberFormat="0" applyBorder="0" applyAlignment="0" applyProtection="0"/>
    <xf numFmtId="0" fontId="4" fillId="46" borderId="32" applyNumberFormat="0" applyBorder="0" applyAlignment="0" applyProtection="0"/>
    <xf numFmtId="169" fontId="4" fillId="46" borderId="32" applyNumberFormat="0" applyBorder="0" applyAlignment="0" applyProtection="0"/>
    <xf numFmtId="0" fontId="4" fillId="46" borderId="32" applyNumberFormat="0" applyBorder="0" applyAlignment="0" applyProtection="0"/>
    <xf numFmtId="0" fontId="60" fillId="7" borderId="32" applyNumberFormat="0" applyBorder="0" applyAlignment="0" applyProtection="0"/>
    <xf numFmtId="169" fontId="4" fillId="46" borderId="32" applyNumberFormat="0" applyBorder="0" applyAlignment="0" applyProtection="0"/>
    <xf numFmtId="0" fontId="4" fillId="46" borderId="32" applyNumberFormat="0" applyBorder="0" applyAlignment="0" applyProtection="0"/>
    <xf numFmtId="0" fontId="60" fillId="7" borderId="32" applyNumberFormat="0" applyBorder="0" applyAlignment="0" applyProtection="0"/>
    <xf numFmtId="169" fontId="25" fillId="7" borderId="32" applyNumberFormat="0" applyBorder="0" applyAlignment="0" applyProtection="0"/>
    <xf numFmtId="0" fontId="4" fillId="46" borderId="32" applyNumberFormat="0" applyBorder="0" applyAlignment="0" applyProtection="0"/>
    <xf numFmtId="0" fontId="4" fillId="46" borderId="32" applyNumberFormat="0" applyBorder="0" applyAlignment="0" applyProtection="0"/>
    <xf numFmtId="0" fontId="60" fillId="9" borderId="32" applyNumberFormat="0" applyBorder="0" applyAlignment="0" applyProtection="0"/>
    <xf numFmtId="0" fontId="60" fillId="8" borderId="32" applyNumberFormat="0" applyBorder="0" applyAlignment="0" applyProtection="0"/>
    <xf numFmtId="0" fontId="4" fillId="50" borderId="32" applyNumberFormat="0" applyBorder="0" applyAlignment="0" applyProtection="0"/>
    <xf numFmtId="0" fontId="25" fillId="8" borderId="32" applyNumberFormat="0" applyBorder="0" applyAlignment="0" applyProtection="0"/>
    <xf numFmtId="169" fontId="25" fillId="8" borderId="32" applyNumberFormat="0" applyBorder="0" applyAlignment="0" applyProtection="0"/>
    <xf numFmtId="0" fontId="4" fillId="50" borderId="32" applyNumberFormat="0" applyBorder="0" applyAlignment="0" applyProtection="0"/>
    <xf numFmtId="169" fontId="4" fillId="50" borderId="32" applyNumberFormat="0" applyBorder="0" applyAlignment="0" applyProtection="0"/>
    <xf numFmtId="0" fontId="4" fillId="50" borderId="32" applyNumberFormat="0" applyBorder="0" applyAlignment="0" applyProtection="0"/>
    <xf numFmtId="0" fontId="60" fillId="8" borderId="32" applyNumberFormat="0" applyBorder="0" applyAlignment="0" applyProtection="0"/>
    <xf numFmtId="169" fontId="4" fillId="50" borderId="32" applyNumberFormat="0" applyBorder="0" applyAlignment="0" applyProtection="0"/>
    <xf numFmtId="0" fontId="4" fillId="50" borderId="32" applyNumberFormat="0" applyBorder="0" applyAlignment="0" applyProtection="0"/>
    <xf numFmtId="0" fontId="60" fillId="8" borderId="32" applyNumberFormat="0" applyBorder="0" applyAlignment="0" applyProtection="0"/>
    <xf numFmtId="0" fontId="60" fillId="8" borderId="32" applyNumberFormat="0" applyBorder="0" applyAlignment="0" applyProtection="0"/>
    <xf numFmtId="169" fontId="60" fillId="8" borderId="32" applyNumberFormat="0" applyBorder="0" applyAlignment="0" applyProtection="0"/>
    <xf numFmtId="0" fontId="4" fillId="50" borderId="32" applyNumberFormat="0" applyBorder="0" applyAlignment="0" applyProtection="0"/>
    <xf numFmtId="0" fontId="4" fillId="50" borderId="32" applyNumberFormat="0" applyBorder="0" applyAlignment="0" applyProtection="0"/>
    <xf numFmtId="169" fontId="4" fillId="50" borderId="32" applyNumberFormat="0" applyBorder="0" applyAlignment="0" applyProtection="0"/>
    <xf numFmtId="0" fontId="4" fillId="50" borderId="32" applyNumberFormat="0" applyBorder="0" applyAlignment="0" applyProtection="0"/>
    <xf numFmtId="0" fontId="60" fillId="8" borderId="32" applyNumberFormat="0" applyBorder="0" applyAlignment="0" applyProtection="0"/>
    <xf numFmtId="169" fontId="4" fillId="50" borderId="32" applyNumberFormat="0" applyBorder="0" applyAlignment="0" applyProtection="0"/>
    <xf numFmtId="0" fontId="4" fillId="50" borderId="32" applyNumberFormat="0" applyBorder="0" applyAlignment="0" applyProtection="0"/>
    <xf numFmtId="0" fontId="60" fillId="8" borderId="32" applyNumberFormat="0" applyBorder="0" applyAlignment="0" applyProtection="0"/>
    <xf numFmtId="169" fontId="25" fillId="8" borderId="32" applyNumberFormat="0" applyBorder="0" applyAlignment="0" applyProtection="0"/>
    <xf numFmtId="0" fontId="4" fillId="50" borderId="32" applyNumberFormat="0" applyBorder="0" applyAlignment="0" applyProtection="0"/>
    <xf numFmtId="0" fontId="4" fillId="50" borderId="32" applyNumberFormat="0" applyBorder="0" applyAlignment="0" applyProtection="0"/>
    <xf numFmtId="0" fontId="60" fillId="8" borderId="32" applyNumberFormat="0" applyBorder="0" applyAlignment="0" applyProtection="0"/>
    <xf numFmtId="0" fontId="60" fillId="8" borderId="32" applyNumberFormat="0" applyBorder="0" applyAlignment="0" applyProtection="0"/>
    <xf numFmtId="0" fontId="60" fillId="25" borderId="32" applyNumberFormat="0" applyBorder="0" applyAlignment="0" applyProtection="0"/>
    <xf numFmtId="0" fontId="4" fillId="54" borderId="32" applyNumberFormat="0" applyBorder="0" applyAlignment="0" applyProtection="0"/>
    <xf numFmtId="0" fontId="25" fillId="9" borderId="32" applyNumberFormat="0" applyBorder="0" applyAlignment="0" applyProtection="0"/>
    <xf numFmtId="169" fontId="25" fillId="9" borderId="32" applyNumberFormat="0" applyBorder="0" applyAlignment="0" applyProtection="0"/>
    <xf numFmtId="0" fontId="4" fillId="54" borderId="32" applyNumberFormat="0" applyBorder="0" applyAlignment="0" applyProtection="0"/>
    <xf numFmtId="169" fontId="4" fillId="54" borderId="32" applyNumberFormat="0" applyBorder="0" applyAlignment="0" applyProtection="0"/>
    <xf numFmtId="0" fontId="4" fillId="54" borderId="32" applyNumberFormat="0" applyBorder="0" applyAlignment="0" applyProtection="0"/>
    <xf numFmtId="0" fontId="60" fillId="9" borderId="32" applyNumberFormat="0" applyBorder="0" applyAlignment="0" applyProtection="0"/>
    <xf numFmtId="169" fontId="4" fillId="54" borderId="32" applyNumberFormat="0" applyBorder="0" applyAlignment="0" applyProtection="0"/>
    <xf numFmtId="0" fontId="4" fillId="54" borderId="32" applyNumberFormat="0" applyBorder="0" applyAlignment="0" applyProtection="0"/>
    <xf numFmtId="0" fontId="60" fillId="9" borderId="32" applyNumberFormat="0" applyBorder="0" applyAlignment="0" applyProtection="0"/>
    <xf numFmtId="0" fontId="60" fillId="25" borderId="32" applyNumberFormat="0" applyBorder="0" applyAlignment="0" applyProtection="0"/>
    <xf numFmtId="169" fontId="60" fillId="25" borderId="32" applyNumberFormat="0" applyBorder="0" applyAlignment="0" applyProtection="0"/>
    <xf numFmtId="0" fontId="4" fillId="54" borderId="32" applyNumberFormat="0" applyBorder="0" applyAlignment="0" applyProtection="0"/>
    <xf numFmtId="0" fontId="4" fillId="54" borderId="32" applyNumberFormat="0" applyBorder="0" applyAlignment="0" applyProtection="0"/>
    <xf numFmtId="169" fontId="4" fillId="54" borderId="32" applyNumberFormat="0" applyBorder="0" applyAlignment="0" applyProtection="0"/>
    <xf numFmtId="0" fontId="4" fillId="54" borderId="32" applyNumberFormat="0" applyBorder="0" applyAlignment="0" applyProtection="0"/>
    <xf numFmtId="0" fontId="60" fillId="9" borderId="32" applyNumberFormat="0" applyBorder="0" applyAlignment="0" applyProtection="0"/>
    <xf numFmtId="169" fontId="4" fillId="54" borderId="32" applyNumberFormat="0" applyBorder="0" applyAlignment="0" applyProtection="0"/>
    <xf numFmtId="0" fontId="4" fillId="54" borderId="32" applyNumberFormat="0" applyBorder="0" applyAlignment="0" applyProtection="0"/>
    <xf numFmtId="0" fontId="60" fillId="9" borderId="32" applyNumberFormat="0" applyBorder="0" applyAlignment="0" applyProtection="0"/>
    <xf numFmtId="169" fontId="25" fillId="9" borderId="32" applyNumberFormat="0" applyBorder="0" applyAlignment="0" applyProtection="0"/>
    <xf numFmtId="0" fontId="4" fillId="54" borderId="32" applyNumberFormat="0" applyBorder="0" applyAlignment="0" applyProtection="0"/>
    <xf numFmtId="0" fontId="4" fillId="54" borderId="32" applyNumberFormat="0" applyBorder="0" applyAlignment="0" applyProtection="0"/>
    <xf numFmtId="0" fontId="60" fillId="25" borderId="32" applyNumberFormat="0" applyBorder="0" applyAlignment="0" applyProtection="0"/>
    <xf numFmtId="0" fontId="60" fillId="25" borderId="32" applyNumberFormat="0" applyBorder="0" applyAlignment="0" applyProtection="0"/>
    <xf numFmtId="0" fontId="60" fillId="10" borderId="32" applyNumberFormat="0" applyBorder="0" applyAlignment="0" applyProtection="0"/>
    <xf numFmtId="169" fontId="60" fillId="10" borderId="32" applyNumberFormat="0" applyBorder="0" applyAlignment="0" applyProtection="0"/>
    <xf numFmtId="0" fontId="60" fillId="11" borderId="32" applyNumberFormat="0" applyBorder="0" applyAlignment="0" applyProtection="0"/>
    <xf numFmtId="169" fontId="60" fillId="11" borderId="32" applyNumberFormat="0" applyBorder="0" applyAlignment="0" applyProtection="0"/>
    <xf numFmtId="0" fontId="60" fillId="12" borderId="32" applyNumberFormat="0" applyBorder="0" applyAlignment="0" applyProtection="0"/>
    <xf numFmtId="169" fontId="60" fillId="12" borderId="32" applyNumberFormat="0" applyBorder="0" applyAlignment="0" applyProtection="0"/>
    <xf numFmtId="0" fontId="60" fillId="7" borderId="32" applyNumberFormat="0" applyBorder="0" applyAlignment="0" applyProtection="0"/>
    <xf numFmtId="169" fontId="60" fillId="7" borderId="32" applyNumberFormat="0" applyBorder="0" applyAlignment="0" applyProtection="0"/>
    <xf numFmtId="0" fontId="60" fillId="10" borderId="32" applyNumberFormat="0" applyBorder="0" applyAlignment="0" applyProtection="0"/>
    <xf numFmtId="169" fontId="60" fillId="10" borderId="32" applyNumberFormat="0" applyBorder="0" applyAlignment="0" applyProtection="0"/>
    <xf numFmtId="0" fontId="60" fillId="13" borderId="32" applyNumberFormat="0" applyBorder="0" applyAlignment="0" applyProtection="0"/>
    <xf numFmtId="169" fontId="60" fillId="13" borderId="32" applyNumberFormat="0" applyBorder="0" applyAlignment="0" applyProtection="0"/>
    <xf numFmtId="0" fontId="60" fillId="8" borderId="32" applyNumberFormat="0" applyBorder="0" applyAlignment="0" applyProtection="0"/>
    <xf numFmtId="0" fontId="4" fillId="35" borderId="32" applyNumberFormat="0" applyBorder="0" applyAlignment="0" applyProtection="0"/>
    <xf numFmtId="0" fontId="25" fillId="10" borderId="32" applyNumberFormat="0" applyBorder="0" applyAlignment="0" applyProtection="0"/>
    <xf numFmtId="169" fontId="25" fillId="10" borderId="32" applyNumberFormat="0" applyBorder="0" applyAlignment="0" applyProtection="0"/>
    <xf numFmtId="0" fontId="4" fillId="35" borderId="32" applyNumberFormat="0" applyBorder="0" applyAlignment="0" applyProtection="0"/>
    <xf numFmtId="169" fontId="4" fillId="35" borderId="32" applyNumberFormat="0" applyBorder="0" applyAlignment="0" applyProtection="0"/>
    <xf numFmtId="0" fontId="4" fillId="35" borderId="32" applyNumberFormat="0" applyBorder="0" applyAlignment="0" applyProtection="0"/>
    <xf numFmtId="0" fontId="60" fillId="10" borderId="32" applyNumberFormat="0" applyBorder="0" applyAlignment="0" applyProtection="0"/>
    <xf numFmtId="169" fontId="4" fillId="35" borderId="32" applyNumberFormat="0" applyBorder="0" applyAlignment="0" applyProtection="0"/>
    <xf numFmtId="0" fontId="4" fillId="35" borderId="32" applyNumberFormat="0" applyBorder="0" applyAlignment="0" applyProtection="0"/>
    <xf numFmtId="0" fontId="60" fillId="10" borderId="32" applyNumberFormat="0" applyBorder="0" applyAlignment="0" applyProtection="0"/>
    <xf numFmtId="0" fontId="60" fillId="8" borderId="32" applyNumberFormat="0" applyBorder="0" applyAlignment="0" applyProtection="0"/>
    <xf numFmtId="169" fontId="60" fillId="8" borderId="32" applyNumberFormat="0" applyBorder="0" applyAlignment="0" applyProtection="0"/>
    <xf numFmtId="0" fontId="4" fillId="35" borderId="32" applyNumberFormat="0" applyBorder="0" applyAlignment="0" applyProtection="0"/>
    <xf numFmtId="0" fontId="4" fillId="35" borderId="32" applyNumberFormat="0" applyBorder="0" applyAlignment="0" applyProtection="0"/>
    <xf numFmtId="169" fontId="4" fillId="35" borderId="32" applyNumberFormat="0" applyBorder="0" applyAlignment="0" applyProtection="0"/>
    <xf numFmtId="0" fontId="4" fillId="35" borderId="32" applyNumberFormat="0" applyBorder="0" applyAlignment="0" applyProtection="0"/>
    <xf numFmtId="0" fontId="60" fillId="10" borderId="32" applyNumberFormat="0" applyBorder="0" applyAlignment="0" applyProtection="0"/>
    <xf numFmtId="169" fontId="4" fillId="35" borderId="32" applyNumberFormat="0" applyBorder="0" applyAlignment="0" applyProtection="0"/>
    <xf numFmtId="0" fontId="4" fillId="35" borderId="32" applyNumberFormat="0" applyBorder="0" applyAlignment="0" applyProtection="0"/>
    <xf numFmtId="0" fontId="60" fillId="10" borderId="32" applyNumberFormat="0" applyBorder="0" applyAlignment="0" applyProtection="0"/>
    <xf numFmtId="169" fontId="25" fillId="10" borderId="32" applyNumberFormat="0" applyBorder="0" applyAlignment="0" applyProtection="0"/>
    <xf numFmtId="0" fontId="4" fillId="35" borderId="32" applyNumberFormat="0" applyBorder="0" applyAlignment="0" applyProtection="0"/>
    <xf numFmtId="0" fontId="4" fillId="35" borderId="32" applyNumberFormat="0" applyBorder="0" applyAlignment="0" applyProtection="0"/>
    <xf numFmtId="0" fontId="60" fillId="8" borderId="32" applyNumberFormat="0" applyBorder="0" applyAlignment="0" applyProtection="0"/>
    <xf numFmtId="0" fontId="60" fillId="8" borderId="32" applyNumberFormat="0" applyBorder="0" applyAlignment="0" applyProtection="0"/>
    <xf numFmtId="0" fontId="60" fillId="11" borderId="32" applyNumberFormat="0" applyBorder="0" applyAlignment="0" applyProtection="0"/>
    <xf numFmtId="0" fontId="4" fillId="39" borderId="32" applyNumberFormat="0" applyBorder="0" applyAlignment="0" applyProtection="0"/>
    <xf numFmtId="0" fontId="25" fillId="11" borderId="32" applyNumberFormat="0" applyBorder="0" applyAlignment="0" applyProtection="0"/>
    <xf numFmtId="169" fontId="25" fillId="11" borderId="32" applyNumberFormat="0" applyBorder="0" applyAlignment="0" applyProtection="0"/>
    <xf numFmtId="0" fontId="4" fillId="39" borderId="32" applyNumberFormat="0" applyBorder="0" applyAlignment="0" applyProtection="0"/>
    <xf numFmtId="169" fontId="4" fillId="39" borderId="32" applyNumberFormat="0" applyBorder="0" applyAlignment="0" applyProtection="0"/>
    <xf numFmtId="0" fontId="4" fillId="39" borderId="32" applyNumberFormat="0" applyBorder="0" applyAlignment="0" applyProtection="0"/>
    <xf numFmtId="0" fontId="60" fillId="11" borderId="32" applyNumberFormat="0" applyBorder="0" applyAlignment="0" applyProtection="0"/>
    <xf numFmtId="169" fontId="4" fillId="39" borderId="32" applyNumberFormat="0" applyBorder="0" applyAlignment="0" applyProtection="0"/>
    <xf numFmtId="0" fontId="4" fillId="39" borderId="32" applyNumberFormat="0" applyBorder="0" applyAlignment="0" applyProtection="0"/>
    <xf numFmtId="0" fontId="60" fillId="11" borderId="32" applyNumberFormat="0" applyBorder="0" applyAlignment="0" applyProtection="0"/>
    <xf numFmtId="0" fontId="60" fillId="11" borderId="32" applyNumberFormat="0" applyBorder="0" applyAlignment="0" applyProtection="0"/>
    <xf numFmtId="169" fontId="60" fillId="11" borderId="32" applyNumberFormat="0" applyBorder="0" applyAlignment="0" applyProtection="0"/>
    <xf numFmtId="0" fontId="4" fillId="39" borderId="32" applyNumberFormat="0" applyBorder="0" applyAlignment="0" applyProtection="0"/>
    <xf numFmtId="0" fontId="4" fillId="39" borderId="32" applyNumberFormat="0" applyBorder="0" applyAlignment="0" applyProtection="0"/>
    <xf numFmtId="169" fontId="4" fillId="39" borderId="32" applyNumberFormat="0" applyBorder="0" applyAlignment="0" applyProtection="0"/>
    <xf numFmtId="0" fontId="4" fillId="39" borderId="32" applyNumberFormat="0" applyBorder="0" applyAlignment="0" applyProtection="0"/>
    <xf numFmtId="0" fontId="60" fillId="11" borderId="32" applyNumberFormat="0" applyBorder="0" applyAlignment="0" applyProtection="0"/>
    <xf numFmtId="169" fontId="4" fillId="39" borderId="32" applyNumberFormat="0" applyBorder="0" applyAlignment="0" applyProtection="0"/>
    <xf numFmtId="0" fontId="4" fillId="39" borderId="32" applyNumberFormat="0" applyBorder="0" applyAlignment="0" applyProtection="0"/>
    <xf numFmtId="0" fontId="60" fillId="11" borderId="32" applyNumberFormat="0" applyBorder="0" applyAlignment="0" applyProtection="0"/>
    <xf numFmtId="169" fontId="25" fillId="11" borderId="32" applyNumberFormat="0" applyBorder="0" applyAlignment="0" applyProtection="0"/>
    <xf numFmtId="0" fontId="4" fillId="39" borderId="32" applyNumberFormat="0" applyBorder="0" applyAlignment="0" applyProtection="0"/>
    <xf numFmtId="0" fontId="4" fillId="39" borderId="32" applyNumberFormat="0" applyBorder="0" applyAlignment="0" applyProtection="0"/>
    <xf numFmtId="0" fontId="60" fillId="11" borderId="32" applyNumberFormat="0" applyBorder="0" applyAlignment="0" applyProtection="0"/>
    <xf numFmtId="0" fontId="60" fillId="11" borderId="32" applyNumberFormat="0" applyBorder="0" applyAlignment="0" applyProtection="0"/>
    <xf numFmtId="0" fontId="60" fillId="24" borderId="32" applyNumberFormat="0" applyBorder="0" applyAlignment="0" applyProtection="0"/>
    <xf numFmtId="0" fontId="4" fillId="43" borderId="32" applyNumberFormat="0" applyBorder="0" applyAlignment="0" applyProtection="0"/>
    <xf numFmtId="0" fontId="25" fillId="12" borderId="32" applyNumberFormat="0" applyBorder="0" applyAlignment="0" applyProtection="0"/>
    <xf numFmtId="169" fontId="25" fillId="12" borderId="32" applyNumberFormat="0" applyBorder="0" applyAlignment="0" applyProtection="0"/>
    <xf numFmtId="0" fontId="4" fillId="43" borderId="32" applyNumberFormat="0" applyBorder="0" applyAlignment="0" applyProtection="0"/>
    <xf numFmtId="169" fontId="4" fillId="43" borderId="32" applyNumberFormat="0" applyBorder="0" applyAlignment="0" applyProtection="0"/>
    <xf numFmtId="0" fontId="4" fillId="43" borderId="32" applyNumberFormat="0" applyBorder="0" applyAlignment="0" applyProtection="0"/>
    <xf numFmtId="0" fontId="60" fillId="12" borderId="32" applyNumberFormat="0" applyBorder="0" applyAlignment="0" applyProtection="0"/>
    <xf numFmtId="169" fontId="4" fillId="43" borderId="32" applyNumberFormat="0" applyBorder="0" applyAlignment="0" applyProtection="0"/>
    <xf numFmtId="0" fontId="4" fillId="43" borderId="32" applyNumberFormat="0" applyBorder="0" applyAlignment="0" applyProtection="0"/>
    <xf numFmtId="0" fontId="60" fillId="12" borderId="32" applyNumberFormat="0" applyBorder="0" applyAlignment="0" applyProtection="0"/>
    <xf numFmtId="0" fontId="4" fillId="12" borderId="32" applyNumberFormat="0" applyBorder="0" applyAlignment="0" applyProtection="0"/>
    <xf numFmtId="0" fontId="4" fillId="12" borderId="32" applyNumberFormat="0" applyBorder="0" applyAlignment="0" applyProtection="0"/>
    <xf numFmtId="169" fontId="4" fillId="12" borderId="32" applyNumberFormat="0" applyBorder="0" applyAlignment="0" applyProtection="0"/>
    <xf numFmtId="0" fontId="4" fillId="12" borderId="32" applyNumberFormat="0" applyBorder="0" applyAlignment="0" applyProtection="0"/>
    <xf numFmtId="0" fontId="60" fillId="12" borderId="32" applyNumberFormat="0" applyBorder="0" applyAlignment="0" applyProtection="0"/>
    <xf numFmtId="169" fontId="4" fillId="12" borderId="32" applyNumberFormat="0" applyBorder="0" applyAlignment="0" applyProtection="0"/>
    <xf numFmtId="0" fontId="4" fillId="12" borderId="32" applyNumberFormat="0" applyBorder="0" applyAlignment="0" applyProtection="0"/>
    <xf numFmtId="0" fontId="60" fillId="12" borderId="32" applyNumberFormat="0" applyBorder="0" applyAlignment="0" applyProtection="0"/>
    <xf numFmtId="0" fontId="60" fillId="24" borderId="32" applyNumberFormat="0" applyBorder="0" applyAlignment="0" applyProtection="0"/>
    <xf numFmtId="169" fontId="60" fillId="24" borderId="32" applyNumberFormat="0" applyBorder="0" applyAlignment="0" applyProtection="0"/>
    <xf numFmtId="0" fontId="4" fillId="43" borderId="32" applyNumberFormat="0" applyBorder="0" applyAlignment="0" applyProtection="0"/>
    <xf numFmtId="0" fontId="4" fillId="43" borderId="32" applyNumberFormat="0" applyBorder="0" applyAlignment="0" applyProtection="0"/>
    <xf numFmtId="169" fontId="4" fillId="43" borderId="32" applyNumberFormat="0" applyBorder="0" applyAlignment="0" applyProtection="0"/>
    <xf numFmtId="0" fontId="4" fillId="43" borderId="32" applyNumberFormat="0" applyBorder="0" applyAlignment="0" applyProtection="0"/>
    <xf numFmtId="0" fontId="60" fillId="12" borderId="32" applyNumberFormat="0" applyBorder="0" applyAlignment="0" applyProtection="0"/>
    <xf numFmtId="169" fontId="4" fillId="43" borderId="32" applyNumberFormat="0" applyBorder="0" applyAlignment="0" applyProtection="0"/>
    <xf numFmtId="0" fontId="4" fillId="43" borderId="32" applyNumberFormat="0" applyBorder="0" applyAlignment="0" applyProtection="0"/>
    <xf numFmtId="0" fontId="60" fillId="12" borderId="32" applyNumberFormat="0" applyBorder="0" applyAlignment="0" applyProtection="0"/>
    <xf numFmtId="169" fontId="25" fillId="12" borderId="32" applyNumberFormat="0" applyBorder="0" applyAlignment="0" applyProtection="0"/>
    <xf numFmtId="0" fontId="4" fillId="43" borderId="32" applyNumberFormat="0" applyBorder="0" applyAlignment="0" applyProtection="0"/>
    <xf numFmtId="0" fontId="4" fillId="43" borderId="32" applyNumberFormat="0" applyBorder="0" applyAlignment="0" applyProtection="0"/>
    <xf numFmtId="0" fontId="60" fillId="24" borderId="32" applyNumberFormat="0" applyBorder="0" applyAlignment="0" applyProtection="0"/>
    <xf numFmtId="0" fontId="60" fillId="5" borderId="32" applyNumberFormat="0" applyBorder="0" applyAlignment="0" applyProtection="0"/>
    <xf numFmtId="0" fontId="4" fillId="47" borderId="32" applyNumberFormat="0" applyBorder="0" applyAlignment="0" applyProtection="0"/>
    <xf numFmtId="0" fontId="25" fillId="7" borderId="32" applyNumberFormat="0" applyBorder="0" applyAlignment="0" applyProtection="0"/>
    <xf numFmtId="169" fontId="25" fillId="7" borderId="32" applyNumberFormat="0" applyBorder="0" applyAlignment="0" applyProtection="0"/>
    <xf numFmtId="0" fontId="4" fillId="47" borderId="32" applyNumberFormat="0" applyBorder="0" applyAlignment="0" applyProtection="0"/>
    <xf numFmtId="169" fontId="4" fillId="47" borderId="32" applyNumberFormat="0" applyBorder="0" applyAlignment="0" applyProtection="0"/>
    <xf numFmtId="0" fontId="4" fillId="47" borderId="32" applyNumberFormat="0" applyBorder="0" applyAlignment="0" applyProtection="0"/>
    <xf numFmtId="0" fontId="60" fillId="7" borderId="32" applyNumberFormat="0" applyBorder="0" applyAlignment="0" applyProtection="0"/>
    <xf numFmtId="169" fontId="4" fillId="47" borderId="32" applyNumberFormat="0" applyBorder="0" applyAlignment="0" applyProtection="0"/>
    <xf numFmtId="0" fontId="4" fillId="47" borderId="32" applyNumberFormat="0" applyBorder="0" applyAlignment="0" applyProtection="0"/>
    <xf numFmtId="0" fontId="60" fillId="7" borderId="32" applyNumberFormat="0" applyBorder="0" applyAlignment="0" applyProtection="0"/>
    <xf numFmtId="0" fontId="60" fillId="5" borderId="32" applyNumberFormat="0" applyBorder="0" applyAlignment="0" applyProtection="0"/>
    <xf numFmtId="169" fontId="60" fillId="5" borderId="32" applyNumberFormat="0" applyBorder="0" applyAlignment="0" applyProtection="0"/>
    <xf numFmtId="0" fontId="4" fillId="47" borderId="32" applyNumberFormat="0" applyBorder="0" applyAlignment="0" applyProtection="0"/>
    <xf numFmtId="0" fontId="4" fillId="47" borderId="32" applyNumberFormat="0" applyBorder="0" applyAlignment="0" applyProtection="0"/>
    <xf numFmtId="169" fontId="4" fillId="47" borderId="32" applyNumberFormat="0" applyBorder="0" applyAlignment="0" applyProtection="0"/>
    <xf numFmtId="0" fontId="4" fillId="47" borderId="32" applyNumberFormat="0" applyBorder="0" applyAlignment="0" applyProtection="0"/>
    <xf numFmtId="0" fontId="60" fillId="7" borderId="32" applyNumberFormat="0" applyBorder="0" applyAlignment="0" applyProtection="0"/>
    <xf numFmtId="169" fontId="4" fillId="47" borderId="32" applyNumberFormat="0" applyBorder="0" applyAlignment="0" applyProtection="0"/>
    <xf numFmtId="0" fontId="4" fillId="47" borderId="32" applyNumberFormat="0" applyBorder="0" applyAlignment="0" applyProtection="0"/>
    <xf numFmtId="0" fontId="60" fillId="7" borderId="32" applyNumberFormat="0" applyBorder="0" applyAlignment="0" applyProtection="0"/>
    <xf numFmtId="169" fontId="25" fillId="7" borderId="32" applyNumberFormat="0" applyBorder="0" applyAlignment="0" applyProtection="0"/>
    <xf numFmtId="0" fontId="4" fillId="47" borderId="32" applyNumberFormat="0" applyBorder="0" applyAlignment="0" applyProtection="0"/>
    <xf numFmtId="0" fontId="4" fillId="47" borderId="32" applyNumberFormat="0" applyBorder="0" applyAlignment="0" applyProtection="0"/>
    <xf numFmtId="0" fontId="60" fillId="5" borderId="32" applyNumberFormat="0" applyBorder="0" applyAlignment="0" applyProtection="0"/>
    <xf numFmtId="0" fontId="60" fillId="5" borderId="32" applyNumberFormat="0" applyBorder="0" applyAlignment="0" applyProtection="0"/>
    <xf numFmtId="0" fontId="60" fillId="8" borderId="32" applyNumberFormat="0" applyBorder="0" applyAlignment="0" applyProtection="0"/>
    <xf numFmtId="0" fontId="4" fillId="51" borderId="32" applyNumberFormat="0" applyBorder="0" applyAlignment="0" applyProtection="0"/>
    <xf numFmtId="0" fontId="25" fillId="10" borderId="32" applyNumberFormat="0" applyBorder="0" applyAlignment="0" applyProtection="0"/>
    <xf numFmtId="169" fontId="25" fillId="10" borderId="32" applyNumberFormat="0" applyBorder="0" applyAlignment="0" applyProtection="0"/>
    <xf numFmtId="0" fontId="4" fillId="51" borderId="32" applyNumberFormat="0" applyBorder="0" applyAlignment="0" applyProtection="0"/>
    <xf numFmtId="169" fontId="4" fillId="51" borderId="32" applyNumberFormat="0" applyBorder="0" applyAlignment="0" applyProtection="0"/>
    <xf numFmtId="0" fontId="4" fillId="51" borderId="32" applyNumberFormat="0" applyBorder="0" applyAlignment="0" applyProtection="0"/>
    <xf numFmtId="0" fontId="60" fillId="10" borderId="32" applyNumberFormat="0" applyBorder="0" applyAlignment="0" applyProtection="0"/>
    <xf numFmtId="169" fontId="4" fillId="51" borderId="32" applyNumberFormat="0" applyBorder="0" applyAlignment="0" applyProtection="0"/>
    <xf numFmtId="0" fontId="4" fillId="51" borderId="32" applyNumberFormat="0" applyBorder="0" applyAlignment="0" applyProtection="0"/>
    <xf numFmtId="0" fontId="60" fillId="10" borderId="32" applyNumberFormat="0" applyBorder="0" applyAlignment="0" applyProtection="0"/>
    <xf numFmtId="0" fontId="60" fillId="8" borderId="32" applyNumberFormat="0" applyBorder="0" applyAlignment="0" applyProtection="0"/>
    <xf numFmtId="169" fontId="60" fillId="8" borderId="32" applyNumberFormat="0" applyBorder="0" applyAlignment="0" applyProtection="0"/>
    <xf numFmtId="0" fontId="4" fillId="51" borderId="32" applyNumberFormat="0" applyBorder="0" applyAlignment="0" applyProtection="0"/>
    <xf numFmtId="0" fontId="4" fillId="51" borderId="32" applyNumberFormat="0" applyBorder="0" applyAlignment="0" applyProtection="0"/>
    <xf numFmtId="169" fontId="4" fillId="51" borderId="32" applyNumberFormat="0" applyBorder="0" applyAlignment="0" applyProtection="0"/>
    <xf numFmtId="0" fontId="4" fillId="51" borderId="32" applyNumberFormat="0" applyBorder="0" applyAlignment="0" applyProtection="0"/>
    <xf numFmtId="0" fontId="60" fillId="10" borderId="32" applyNumberFormat="0" applyBorder="0" applyAlignment="0" applyProtection="0"/>
    <xf numFmtId="169" fontId="4" fillId="51" borderId="32" applyNumberFormat="0" applyBorder="0" applyAlignment="0" applyProtection="0"/>
    <xf numFmtId="0" fontId="4" fillId="51" borderId="32" applyNumberFormat="0" applyBorder="0" applyAlignment="0" applyProtection="0"/>
    <xf numFmtId="0" fontId="60" fillId="10" borderId="32" applyNumberFormat="0" applyBorder="0" applyAlignment="0" applyProtection="0"/>
    <xf numFmtId="169" fontId="25" fillId="10" borderId="32" applyNumberFormat="0" applyBorder="0" applyAlignment="0" applyProtection="0"/>
    <xf numFmtId="0" fontId="4" fillId="51" borderId="32" applyNumberFormat="0" applyBorder="0" applyAlignment="0" applyProtection="0"/>
    <xf numFmtId="0" fontId="4" fillId="51" borderId="32" applyNumberFormat="0" applyBorder="0" applyAlignment="0" applyProtection="0"/>
    <xf numFmtId="0" fontId="60" fillId="8" borderId="32" applyNumberFormat="0" applyBorder="0" applyAlignment="0" applyProtection="0"/>
    <xf numFmtId="0" fontId="60" fillId="8" borderId="32" applyNumberFormat="0" applyBorder="0" applyAlignment="0" applyProtection="0"/>
    <xf numFmtId="0" fontId="60" fillId="25" borderId="32" applyNumberFormat="0" applyBorder="0" applyAlignment="0" applyProtection="0"/>
    <xf numFmtId="0" fontId="4" fillId="55" borderId="32" applyNumberFormat="0" applyBorder="0" applyAlignment="0" applyProtection="0"/>
    <xf numFmtId="0" fontId="25" fillId="13" borderId="32" applyNumberFormat="0" applyBorder="0" applyAlignment="0" applyProtection="0"/>
    <xf numFmtId="169" fontId="25" fillId="13" borderId="32" applyNumberFormat="0" applyBorder="0" applyAlignment="0" applyProtection="0"/>
    <xf numFmtId="0" fontId="4" fillId="55" borderId="32" applyNumberFormat="0" applyBorder="0" applyAlignment="0" applyProtection="0"/>
    <xf numFmtId="169" fontId="4" fillId="55" borderId="32" applyNumberFormat="0" applyBorder="0" applyAlignment="0" applyProtection="0"/>
    <xf numFmtId="0" fontId="4" fillId="55" borderId="32" applyNumberFormat="0" applyBorder="0" applyAlignment="0" applyProtection="0"/>
    <xf numFmtId="0" fontId="60" fillId="13" borderId="32" applyNumberFormat="0" applyBorder="0" applyAlignment="0" applyProtection="0"/>
    <xf numFmtId="169" fontId="4" fillId="55" borderId="32" applyNumberFormat="0" applyBorder="0" applyAlignment="0" applyProtection="0"/>
    <xf numFmtId="0" fontId="4" fillId="55" borderId="32" applyNumberFormat="0" applyBorder="0" applyAlignment="0" applyProtection="0"/>
    <xf numFmtId="0" fontId="60" fillId="13" borderId="32" applyNumberFormat="0" applyBorder="0" applyAlignment="0" applyProtection="0"/>
    <xf numFmtId="0" fontId="60" fillId="25" borderId="32" applyNumberFormat="0" applyBorder="0" applyAlignment="0" applyProtection="0"/>
    <xf numFmtId="169" fontId="60" fillId="25" borderId="32" applyNumberFormat="0" applyBorder="0" applyAlignment="0" applyProtection="0"/>
    <xf numFmtId="0" fontId="4" fillId="55" borderId="32" applyNumberFormat="0" applyBorder="0" applyAlignment="0" applyProtection="0"/>
    <xf numFmtId="0" fontId="4" fillId="55" borderId="32" applyNumberFormat="0" applyBorder="0" applyAlignment="0" applyProtection="0"/>
    <xf numFmtId="169" fontId="4" fillId="55" borderId="32" applyNumberFormat="0" applyBorder="0" applyAlignment="0" applyProtection="0"/>
    <xf numFmtId="0" fontId="4" fillId="55" borderId="32" applyNumberFormat="0" applyBorder="0" applyAlignment="0" applyProtection="0"/>
    <xf numFmtId="0" fontId="60" fillId="13" borderId="32" applyNumberFormat="0" applyBorder="0" applyAlignment="0" applyProtection="0"/>
    <xf numFmtId="169" fontId="4" fillId="55" borderId="32" applyNumberFormat="0" applyBorder="0" applyAlignment="0" applyProtection="0"/>
    <xf numFmtId="0" fontId="4" fillId="55" borderId="32" applyNumberFormat="0" applyBorder="0" applyAlignment="0" applyProtection="0"/>
    <xf numFmtId="0" fontId="60" fillId="13" borderId="32" applyNumberFormat="0" applyBorder="0" applyAlignment="0" applyProtection="0"/>
    <xf numFmtId="169" fontId="25" fillId="13" borderId="32" applyNumberFormat="0" applyBorder="0" applyAlignment="0" applyProtection="0"/>
    <xf numFmtId="0" fontId="4" fillId="55" borderId="32" applyNumberFormat="0" applyBorder="0" applyAlignment="0" applyProtection="0"/>
    <xf numFmtId="0" fontId="4" fillId="55" borderId="32" applyNumberFormat="0" applyBorder="0" applyAlignment="0" applyProtection="0"/>
    <xf numFmtId="0" fontId="60" fillId="25" borderId="32" applyNumberFormat="0" applyBorder="0" applyAlignment="0" applyProtection="0"/>
    <xf numFmtId="0" fontId="60" fillId="25" borderId="32" applyNumberFormat="0" applyBorder="0" applyAlignment="0" applyProtection="0"/>
    <xf numFmtId="0" fontId="62" fillId="14" borderId="32" applyNumberFormat="0" applyBorder="0" applyAlignment="0" applyProtection="0"/>
    <xf numFmtId="169" fontId="62" fillId="14" borderId="32" applyNumberFormat="0" applyBorder="0" applyAlignment="0" applyProtection="0"/>
    <xf numFmtId="0" fontId="62" fillId="11" borderId="32" applyNumberFormat="0" applyBorder="0" applyAlignment="0" applyProtection="0"/>
    <xf numFmtId="169" fontId="62" fillId="11" borderId="32" applyNumberFormat="0" applyBorder="0" applyAlignment="0" applyProtection="0"/>
    <xf numFmtId="0" fontId="62" fillId="12" borderId="32" applyNumberFormat="0" applyBorder="0" applyAlignment="0" applyProtection="0"/>
    <xf numFmtId="169" fontId="62" fillId="12" borderId="32" applyNumberFormat="0" applyBorder="0" applyAlignment="0" applyProtection="0"/>
    <xf numFmtId="0" fontId="62" fillId="15" borderId="32" applyNumberFormat="0" applyBorder="0" applyAlignment="0" applyProtection="0"/>
    <xf numFmtId="169" fontId="62" fillId="15" borderId="32" applyNumberFormat="0" applyBorder="0" applyAlignment="0" applyProtection="0"/>
    <xf numFmtId="0" fontId="62" fillId="16" borderId="32" applyNumberFormat="0" applyBorder="0" applyAlignment="0" applyProtection="0"/>
    <xf numFmtId="169" fontId="62" fillId="16" borderId="32" applyNumberFormat="0" applyBorder="0" applyAlignment="0" applyProtection="0"/>
    <xf numFmtId="0" fontId="62" fillId="17" borderId="32" applyNumberFormat="0" applyBorder="0" applyAlignment="0" applyProtection="0"/>
    <xf numFmtId="169" fontId="62" fillId="17" borderId="32" applyNumberFormat="0" applyBorder="0" applyAlignment="0" applyProtection="0"/>
    <xf numFmtId="0" fontId="59" fillId="36" borderId="32" applyNumberFormat="0" applyBorder="0" applyAlignment="0" applyProtection="0"/>
    <xf numFmtId="0" fontId="26" fillId="14" borderId="32" applyNumberFormat="0" applyBorder="0" applyAlignment="0" applyProtection="0"/>
    <xf numFmtId="169" fontId="26" fillId="14" borderId="32" applyNumberFormat="0" applyBorder="0" applyAlignment="0" applyProtection="0"/>
    <xf numFmtId="169" fontId="59" fillId="36" borderId="32" applyNumberFormat="0" applyBorder="0" applyAlignment="0" applyProtection="0"/>
    <xf numFmtId="0" fontId="62" fillId="14" borderId="32" applyNumberFormat="0" applyBorder="0" applyAlignment="0" applyProtection="0"/>
    <xf numFmtId="0" fontId="62" fillId="8" borderId="32" applyNumberFormat="0" applyBorder="0" applyAlignment="0" applyProtection="0"/>
    <xf numFmtId="169" fontId="62" fillId="8" borderId="32" applyNumberFormat="0" applyBorder="0" applyAlignment="0" applyProtection="0"/>
    <xf numFmtId="169" fontId="26" fillId="14" borderId="32" applyNumberFormat="0" applyBorder="0" applyAlignment="0" applyProtection="0"/>
    <xf numFmtId="0" fontId="62" fillId="8" borderId="32" applyNumberFormat="0" applyBorder="0" applyAlignment="0" applyProtection="0"/>
    <xf numFmtId="0" fontId="62" fillId="8" borderId="32" applyNumberFormat="0" applyBorder="0" applyAlignment="0" applyProtection="0"/>
    <xf numFmtId="0" fontId="62" fillId="8" borderId="32" applyNumberFormat="0" applyBorder="0" applyAlignment="0" applyProtection="0"/>
    <xf numFmtId="0" fontId="59" fillId="40" borderId="32" applyNumberFormat="0" applyBorder="0" applyAlignment="0" applyProtection="0"/>
    <xf numFmtId="0" fontId="26" fillId="11" borderId="32" applyNumberFormat="0" applyBorder="0" applyAlignment="0" applyProtection="0"/>
    <xf numFmtId="169" fontId="26" fillId="11" borderId="32" applyNumberFormat="0" applyBorder="0" applyAlignment="0" applyProtection="0"/>
    <xf numFmtId="169" fontId="59" fillId="40" borderId="32" applyNumberFormat="0" applyBorder="0" applyAlignment="0" applyProtection="0"/>
    <xf numFmtId="0" fontId="62" fillId="11" borderId="32" applyNumberFormat="0" applyBorder="0" applyAlignment="0" applyProtection="0"/>
    <xf numFmtId="0" fontId="62" fillId="23" borderId="32" applyNumberFormat="0" applyBorder="0" applyAlignment="0" applyProtection="0"/>
    <xf numFmtId="169" fontId="62" fillId="23" borderId="32" applyNumberFormat="0" applyBorder="0" applyAlignment="0" applyProtection="0"/>
    <xf numFmtId="169" fontId="26" fillId="11" borderId="32" applyNumberFormat="0" applyBorder="0" applyAlignment="0" applyProtection="0"/>
    <xf numFmtId="0" fontId="62" fillId="23" borderId="32" applyNumberFormat="0" applyBorder="0" applyAlignment="0" applyProtection="0"/>
    <xf numFmtId="0" fontId="62" fillId="23" borderId="32" applyNumberFormat="0" applyBorder="0" applyAlignment="0" applyProtection="0"/>
    <xf numFmtId="0" fontId="62" fillId="23" borderId="32" applyNumberFormat="0" applyBorder="0" applyAlignment="0" applyProtection="0"/>
    <xf numFmtId="0" fontId="59" fillId="44" borderId="32" applyNumberFormat="0" applyBorder="0" applyAlignment="0" applyProtection="0"/>
    <xf numFmtId="0" fontId="26" fillId="12" borderId="32" applyNumberFormat="0" applyBorder="0" applyAlignment="0" applyProtection="0"/>
    <xf numFmtId="169" fontId="26" fillId="12" borderId="32" applyNumberFormat="0" applyBorder="0" applyAlignment="0" applyProtection="0"/>
    <xf numFmtId="169" fontId="59" fillId="44" borderId="32" applyNumberFormat="0" applyBorder="0" applyAlignment="0" applyProtection="0"/>
    <xf numFmtId="0" fontId="62" fillId="12" borderId="32" applyNumberFormat="0" applyBorder="0" applyAlignment="0" applyProtection="0"/>
    <xf numFmtId="0" fontId="59" fillId="12" borderId="32" applyNumberFormat="0" applyBorder="0" applyAlignment="0" applyProtection="0"/>
    <xf numFmtId="169" fontId="59" fillId="12" borderId="32" applyNumberFormat="0" applyBorder="0" applyAlignment="0" applyProtection="0"/>
    <xf numFmtId="0" fontId="62" fillId="12" borderId="32" applyNumberFormat="0" applyBorder="0" applyAlignment="0" applyProtection="0"/>
    <xf numFmtId="0" fontId="62" fillId="13" borderId="32" applyNumberFormat="0" applyBorder="0" applyAlignment="0" applyProtection="0"/>
    <xf numFmtId="169" fontId="62" fillId="13" borderId="32" applyNumberFormat="0" applyBorder="0" applyAlignment="0" applyProtection="0"/>
    <xf numFmtId="169" fontId="26" fillId="12" borderId="32" applyNumberFormat="0" applyBorder="0" applyAlignment="0" applyProtection="0"/>
    <xf numFmtId="0" fontId="62" fillId="13" borderId="32" applyNumberFormat="0" applyBorder="0" applyAlignment="0" applyProtection="0"/>
    <xf numFmtId="0" fontId="62" fillId="13" borderId="32" applyNumberFormat="0" applyBorder="0" applyAlignment="0" applyProtection="0"/>
    <xf numFmtId="0" fontId="62" fillId="13" borderId="32" applyNumberFormat="0" applyBorder="0" applyAlignment="0" applyProtection="0"/>
    <xf numFmtId="0" fontId="59" fillId="48" borderId="32" applyNumberFormat="0" applyBorder="0" applyAlignment="0" applyProtection="0"/>
    <xf numFmtId="0" fontId="26" fillId="15" borderId="32" applyNumberFormat="0" applyBorder="0" applyAlignment="0" applyProtection="0"/>
    <xf numFmtId="169" fontId="26" fillId="15" borderId="32" applyNumberFormat="0" applyBorder="0" applyAlignment="0" applyProtection="0"/>
    <xf numFmtId="169" fontId="59" fillId="48" borderId="32" applyNumberFormat="0" applyBorder="0" applyAlignment="0" applyProtection="0"/>
    <xf numFmtId="0" fontId="62" fillId="15" borderId="32" applyNumberFormat="0" applyBorder="0" applyAlignment="0" applyProtection="0"/>
    <xf numFmtId="0" fontId="59" fillId="15" borderId="32" applyNumberFormat="0" applyBorder="0" applyAlignment="0" applyProtection="0"/>
    <xf numFmtId="169" fontId="59" fillId="15" borderId="32" applyNumberFormat="0" applyBorder="0" applyAlignment="0" applyProtection="0"/>
    <xf numFmtId="0" fontId="62" fillId="15" borderId="32" applyNumberFormat="0" applyBorder="0" applyAlignment="0" applyProtection="0"/>
    <xf numFmtId="0" fontId="62" fillId="5" borderId="32" applyNumberFormat="0" applyBorder="0" applyAlignment="0" applyProtection="0"/>
    <xf numFmtId="169" fontId="62" fillId="5" borderId="32" applyNumberFormat="0" applyBorder="0" applyAlignment="0" applyProtection="0"/>
    <xf numFmtId="169" fontId="26" fillId="15" borderId="32" applyNumberFormat="0" applyBorder="0" applyAlignment="0" applyProtection="0"/>
    <xf numFmtId="0" fontId="62" fillId="5" borderId="32" applyNumberFormat="0" applyBorder="0" applyAlignment="0" applyProtection="0"/>
    <xf numFmtId="0" fontId="62" fillId="5" borderId="32" applyNumberFormat="0" applyBorder="0" applyAlignment="0" applyProtection="0"/>
    <xf numFmtId="0" fontId="62" fillId="5" borderId="32" applyNumberFormat="0" applyBorder="0" applyAlignment="0" applyProtection="0"/>
    <xf numFmtId="0" fontId="59" fillId="52" borderId="32" applyNumberFormat="0" applyBorder="0" applyAlignment="0" applyProtection="0"/>
    <xf numFmtId="0" fontId="26" fillId="16" borderId="32" applyNumberFormat="0" applyBorder="0" applyAlignment="0" applyProtection="0"/>
    <xf numFmtId="169" fontId="26" fillId="16" borderId="32" applyNumberFormat="0" applyBorder="0" applyAlignment="0" applyProtection="0"/>
    <xf numFmtId="169" fontId="59" fillId="52" borderId="32" applyNumberFormat="0" applyBorder="0" applyAlignment="0" applyProtection="0"/>
    <xf numFmtId="0" fontId="62" fillId="16" borderId="32" applyNumberFormat="0" applyBorder="0" applyAlignment="0" applyProtection="0"/>
    <xf numFmtId="0" fontId="62" fillId="8" borderId="32" applyNumberFormat="0" applyBorder="0" applyAlignment="0" applyProtection="0"/>
    <xf numFmtId="169" fontId="62" fillId="8" borderId="32" applyNumberFormat="0" applyBorder="0" applyAlignment="0" applyProtection="0"/>
    <xf numFmtId="169" fontId="26" fillId="16" borderId="32" applyNumberFormat="0" applyBorder="0" applyAlignment="0" applyProtection="0"/>
    <xf numFmtId="0" fontId="62" fillId="8" borderId="32" applyNumberFormat="0" applyBorder="0" applyAlignment="0" applyProtection="0"/>
    <xf numFmtId="0" fontId="62" fillId="8" borderId="32" applyNumberFormat="0" applyBorder="0" applyAlignment="0" applyProtection="0"/>
    <xf numFmtId="0" fontId="62" fillId="8" borderId="32" applyNumberFormat="0" applyBorder="0" applyAlignment="0" applyProtection="0"/>
    <xf numFmtId="0" fontId="59" fillId="56" borderId="32" applyNumberFormat="0" applyBorder="0" applyAlignment="0" applyProtection="0"/>
    <xf numFmtId="0" fontId="26" fillId="17" borderId="32" applyNumberFormat="0" applyBorder="0" applyAlignment="0" applyProtection="0"/>
    <xf numFmtId="169" fontId="26" fillId="17" borderId="32" applyNumberFormat="0" applyBorder="0" applyAlignment="0" applyProtection="0"/>
    <xf numFmtId="169" fontId="59" fillId="56" borderId="32" applyNumberFormat="0" applyBorder="0" applyAlignment="0" applyProtection="0"/>
    <xf numFmtId="0" fontId="62" fillId="17" borderId="32" applyNumberFormat="0" applyBorder="0" applyAlignment="0" applyProtection="0"/>
    <xf numFmtId="0" fontId="59" fillId="17" borderId="32" applyNumberFormat="0" applyBorder="0" applyAlignment="0" applyProtection="0"/>
    <xf numFmtId="169" fontId="59" fillId="17" borderId="32" applyNumberFormat="0" applyBorder="0" applyAlignment="0" applyProtection="0"/>
    <xf numFmtId="0" fontId="62" fillId="17" borderId="32" applyNumberFormat="0" applyBorder="0" applyAlignment="0" applyProtection="0"/>
    <xf numFmtId="0" fontId="62" fillId="11" borderId="32" applyNumberFormat="0" applyBorder="0" applyAlignment="0" applyProtection="0"/>
    <xf numFmtId="169" fontId="62" fillId="11" borderId="32" applyNumberFormat="0" applyBorder="0" applyAlignment="0" applyProtection="0"/>
    <xf numFmtId="169" fontId="26" fillId="17" borderId="32" applyNumberFormat="0" applyBorder="0" applyAlignment="0" applyProtection="0"/>
    <xf numFmtId="0" fontId="62" fillId="11" borderId="32" applyNumberFormat="0" applyBorder="0" applyAlignment="0" applyProtection="0"/>
    <xf numFmtId="0" fontId="62" fillId="11" borderId="32" applyNumberFormat="0" applyBorder="0" applyAlignment="0" applyProtection="0"/>
    <xf numFmtId="0" fontId="62" fillId="11" borderId="32" applyNumberFormat="0" applyBorder="0" applyAlignment="0" applyProtection="0"/>
    <xf numFmtId="0" fontId="62" fillId="20" borderId="32" applyNumberFormat="0" applyBorder="0" applyAlignment="0" applyProtection="0"/>
    <xf numFmtId="169" fontId="62" fillId="20" borderId="32" applyNumberFormat="0" applyBorder="0" applyAlignment="0" applyProtection="0"/>
    <xf numFmtId="0" fontId="62" fillId="21" borderId="32" applyNumberFormat="0" applyBorder="0" applyAlignment="0" applyProtection="0"/>
    <xf numFmtId="169" fontId="62" fillId="21" borderId="32" applyNumberFormat="0" applyBorder="0" applyAlignment="0" applyProtection="0"/>
    <xf numFmtId="0" fontId="62" fillId="22" borderId="32" applyNumberFormat="0" applyBorder="0" applyAlignment="0" applyProtection="0"/>
    <xf numFmtId="169" fontId="62" fillId="22" borderId="32" applyNumberFormat="0" applyBorder="0" applyAlignment="0" applyProtection="0"/>
    <xf numFmtId="0" fontId="62" fillId="15" borderId="32" applyNumberFormat="0" applyBorder="0" applyAlignment="0" applyProtection="0"/>
    <xf numFmtId="169" fontId="62" fillId="15" borderId="32" applyNumberFormat="0" applyBorder="0" applyAlignment="0" applyProtection="0"/>
    <xf numFmtId="0" fontId="62" fillId="16" borderId="32" applyNumberFormat="0" applyBorder="0" applyAlignment="0" applyProtection="0"/>
    <xf numFmtId="169" fontId="62" fillId="16" borderId="32" applyNumberFormat="0" applyBorder="0" applyAlignment="0" applyProtection="0"/>
    <xf numFmtId="0" fontId="62" fillId="23" borderId="32" applyNumberFormat="0" applyBorder="0" applyAlignment="0" applyProtection="0"/>
    <xf numFmtId="169" fontId="62" fillId="23" borderId="32" applyNumberFormat="0" applyBorder="0" applyAlignment="0" applyProtection="0"/>
    <xf numFmtId="0" fontId="63" fillId="5" borderId="32" applyNumberFormat="0" applyBorder="0" applyAlignment="0" applyProtection="0"/>
    <xf numFmtId="169" fontId="63" fillId="5" borderId="32" applyNumberFormat="0" applyBorder="0" applyAlignment="0" applyProtection="0"/>
    <xf numFmtId="0" fontId="48" fillId="26" borderId="32" applyNumberFormat="0" applyBorder="0" applyAlignment="0" applyProtection="0"/>
    <xf numFmtId="0" fontId="27" fillId="6" borderId="32" applyNumberFormat="0" applyBorder="0" applyAlignment="0" applyProtection="0"/>
    <xf numFmtId="169" fontId="27" fillId="6" borderId="32" applyNumberFormat="0" applyBorder="0" applyAlignment="0" applyProtection="0"/>
    <xf numFmtId="169" fontId="48" fillId="26" borderId="32" applyNumberFormat="0" applyBorder="0" applyAlignment="0" applyProtection="0"/>
    <xf numFmtId="0" fontId="64" fillId="6" borderId="32" applyNumberFormat="0" applyBorder="0" applyAlignment="0" applyProtection="0"/>
    <xf numFmtId="0" fontId="64" fillId="8" borderId="32" applyNumberFormat="0" applyBorder="0" applyAlignment="0" applyProtection="0"/>
    <xf numFmtId="169" fontId="64" fillId="8" borderId="32" applyNumberFormat="0" applyBorder="0" applyAlignment="0" applyProtection="0"/>
    <xf numFmtId="169" fontId="27" fillId="6" borderId="32" applyNumberFormat="0" applyBorder="0" applyAlignment="0" applyProtection="0"/>
    <xf numFmtId="0" fontId="64" fillId="8" borderId="32" applyNumberFormat="0" applyBorder="0" applyAlignment="0" applyProtection="0"/>
    <xf numFmtId="0" fontId="64" fillId="8" borderId="32" applyNumberFormat="0" applyBorder="0" applyAlignment="0" applyProtection="0"/>
    <xf numFmtId="0" fontId="64" fillId="8" borderId="32" applyNumberFormat="0" applyBorder="0" applyAlignment="0" applyProtection="0"/>
    <xf numFmtId="0" fontId="65" fillId="18" borderId="38" applyNumberFormat="0" applyAlignment="0" applyProtection="0"/>
    <xf numFmtId="169" fontId="65" fillId="18" borderId="38" applyNumberFormat="0" applyAlignment="0" applyProtection="0"/>
    <xf numFmtId="0" fontId="53" fillId="30" borderId="64" applyNumberFormat="0" applyAlignment="0" applyProtection="0"/>
    <xf numFmtId="0" fontId="28" fillId="18" borderId="38" applyNumberFormat="0" applyAlignment="0" applyProtection="0"/>
    <xf numFmtId="169" fontId="28" fillId="18" borderId="38" applyNumberFormat="0" applyAlignment="0" applyProtection="0"/>
    <xf numFmtId="169" fontId="53" fillId="30" borderId="64" applyNumberFormat="0" applyAlignment="0" applyProtection="0"/>
    <xf numFmtId="0" fontId="65" fillId="18" borderId="38" applyNumberFormat="0" applyAlignment="0" applyProtection="0"/>
    <xf numFmtId="0" fontId="66" fillId="57" borderId="38" applyNumberFormat="0" applyAlignment="0" applyProtection="0"/>
    <xf numFmtId="169" fontId="66" fillId="57" borderId="38" applyNumberFormat="0" applyAlignment="0" applyProtection="0"/>
    <xf numFmtId="169" fontId="28" fillId="18" borderId="38" applyNumberFormat="0" applyAlignment="0" applyProtection="0"/>
    <xf numFmtId="0" fontId="66" fillId="57" borderId="38" applyNumberFormat="0" applyAlignment="0" applyProtection="0"/>
    <xf numFmtId="0" fontId="66" fillId="57" borderId="38" applyNumberFormat="0" applyAlignment="0" applyProtection="0"/>
    <xf numFmtId="0" fontId="66" fillId="57" borderId="38" applyNumberFormat="0" applyAlignment="0" applyProtection="0"/>
    <xf numFmtId="0" fontId="67" fillId="0" borderId="32"/>
    <xf numFmtId="0" fontId="7" fillId="0" borderId="32"/>
    <xf numFmtId="0" fontId="7" fillId="0" borderId="32"/>
    <xf numFmtId="169" fontId="7" fillId="0" borderId="32"/>
    <xf numFmtId="169" fontId="7" fillId="0" borderId="32"/>
    <xf numFmtId="169" fontId="67" fillId="0" borderId="32"/>
    <xf numFmtId="0" fontId="55" fillId="31" borderId="67" applyNumberFormat="0" applyAlignment="0" applyProtection="0"/>
    <xf numFmtId="0" fontId="29" fillId="19" borderId="39" applyNumberFormat="0" applyAlignment="0" applyProtection="0"/>
    <xf numFmtId="169" fontId="29" fillId="19" borderId="39" applyNumberFormat="0" applyAlignment="0" applyProtection="0"/>
    <xf numFmtId="169" fontId="55" fillId="31" borderId="67" applyNumberFormat="0" applyAlignment="0" applyProtection="0"/>
    <xf numFmtId="0" fontId="68" fillId="19" borderId="39" applyNumberFormat="0" applyAlignment="0" applyProtection="0"/>
    <xf numFmtId="0" fontId="68" fillId="19" borderId="39" applyNumberFormat="0" applyAlignment="0" applyProtection="0"/>
    <xf numFmtId="169" fontId="68" fillId="19" borderId="39" applyNumberFormat="0" applyAlignment="0" applyProtection="0"/>
    <xf numFmtId="169" fontId="29" fillId="19" borderId="39" applyNumberFormat="0" applyAlignment="0" applyProtection="0"/>
    <xf numFmtId="0" fontId="68" fillId="19" borderId="39" applyNumberFormat="0" applyAlignment="0" applyProtection="0"/>
    <xf numFmtId="0" fontId="68" fillId="19" borderId="39" applyNumberFormat="0" applyAlignment="0" applyProtection="0"/>
    <xf numFmtId="0" fontId="68" fillId="19" borderId="39" applyNumberFormat="0" applyAlignment="0" applyProtection="0"/>
    <xf numFmtId="0" fontId="54" fillId="0" borderId="66" applyNumberFormat="0" applyFill="0" applyAlignment="0" applyProtection="0"/>
    <xf numFmtId="0" fontId="30" fillId="0" borderId="40" applyNumberFormat="0" applyFill="0" applyAlignment="0" applyProtection="0"/>
    <xf numFmtId="169" fontId="30" fillId="0" borderId="40" applyNumberFormat="0" applyFill="0" applyAlignment="0" applyProtection="0"/>
    <xf numFmtId="169" fontId="54" fillId="0" borderId="66" applyNumberFormat="0" applyFill="0" applyAlignment="0" applyProtection="0"/>
    <xf numFmtId="0" fontId="69" fillId="0" borderId="40" applyNumberFormat="0" applyFill="0" applyAlignment="0" applyProtection="0"/>
    <xf numFmtId="0" fontId="70" fillId="0" borderId="70" applyNumberFormat="0" applyFill="0" applyAlignment="0" applyProtection="0"/>
    <xf numFmtId="169" fontId="70" fillId="0" borderId="70" applyNumberFormat="0" applyFill="0" applyAlignment="0" applyProtection="0"/>
    <xf numFmtId="169" fontId="30" fillId="0" borderId="40" applyNumberFormat="0" applyFill="0" applyAlignment="0" applyProtection="0"/>
    <xf numFmtId="0" fontId="70" fillId="0" borderId="70" applyNumberFormat="0" applyFill="0" applyAlignment="0" applyProtection="0"/>
    <xf numFmtId="0" fontId="70" fillId="0" borderId="70" applyNumberFormat="0" applyFill="0" applyAlignment="0" applyProtection="0"/>
    <xf numFmtId="0" fontId="70" fillId="0" borderId="70" applyNumberFormat="0" applyFill="0" applyAlignment="0" applyProtection="0"/>
    <xf numFmtId="0" fontId="68" fillId="19" borderId="39" applyNumberFormat="0" applyAlignment="0" applyProtection="0"/>
    <xf numFmtId="169" fontId="68" fillId="19" borderId="39" applyNumberFormat="0" applyAlignment="0" applyProtection="0"/>
    <xf numFmtId="0" fontId="59" fillId="33" borderId="32" applyNumberFormat="0" applyBorder="0" applyAlignment="0" applyProtection="0"/>
    <xf numFmtId="0" fontId="26" fillId="20" borderId="32" applyNumberFormat="0" applyBorder="0" applyAlignment="0" applyProtection="0"/>
    <xf numFmtId="169" fontId="26" fillId="20" borderId="32" applyNumberFormat="0" applyBorder="0" applyAlignment="0" applyProtection="0"/>
    <xf numFmtId="169" fontId="59" fillId="33" borderId="32" applyNumberFormat="0" applyBorder="0" applyAlignment="0" applyProtection="0"/>
    <xf numFmtId="0" fontId="62" fillId="20" borderId="32" applyNumberFormat="0" applyBorder="0" applyAlignment="0" applyProtection="0"/>
    <xf numFmtId="0" fontId="62" fillId="58" borderId="32" applyNumberFormat="0" applyBorder="0" applyAlignment="0" applyProtection="0"/>
    <xf numFmtId="169" fontId="62" fillId="58" borderId="32" applyNumberFormat="0" applyBorder="0" applyAlignment="0" applyProtection="0"/>
    <xf numFmtId="169" fontId="26" fillId="20" borderId="32" applyNumberFormat="0" applyBorder="0" applyAlignment="0" applyProtection="0"/>
    <xf numFmtId="0" fontId="62" fillId="58" borderId="32" applyNumberFormat="0" applyBorder="0" applyAlignment="0" applyProtection="0"/>
    <xf numFmtId="0" fontId="62" fillId="58" borderId="32" applyNumberFormat="0" applyBorder="0" applyAlignment="0" applyProtection="0"/>
    <xf numFmtId="0" fontId="62" fillId="58" borderId="32" applyNumberFormat="0" applyBorder="0" applyAlignment="0" applyProtection="0"/>
    <xf numFmtId="0" fontId="59" fillId="37" borderId="32" applyNumberFormat="0" applyBorder="0" applyAlignment="0" applyProtection="0"/>
    <xf numFmtId="0" fontId="26" fillId="21" borderId="32" applyNumberFormat="0" applyBorder="0" applyAlignment="0" applyProtection="0"/>
    <xf numFmtId="169" fontId="26" fillId="21" borderId="32" applyNumberFormat="0" applyBorder="0" applyAlignment="0" applyProtection="0"/>
    <xf numFmtId="169" fontId="59" fillId="37" borderId="32" applyNumberFormat="0" applyBorder="0" applyAlignment="0" applyProtection="0"/>
    <xf numFmtId="0" fontId="62" fillId="21" borderId="32" applyNumberFormat="0" applyBorder="0" applyAlignment="0" applyProtection="0"/>
    <xf numFmtId="0" fontId="62" fillId="23" borderId="32" applyNumberFormat="0" applyBorder="0" applyAlignment="0" applyProtection="0"/>
    <xf numFmtId="169" fontId="62" fillId="23" borderId="32" applyNumberFormat="0" applyBorder="0" applyAlignment="0" applyProtection="0"/>
    <xf numFmtId="169" fontId="26" fillId="21" borderId="32" applyNumberFormat="0" applyBorder="0" applyAlignment="0" applyProtection="0"/>
    <xf numFmtId="0" fontId="62" fillId="23" borderId="32" applyNumberFormat="0" applyBorder="0" applyAlignment="0" applyProtection="0"/>
    <xf numFmtId="0" fontId="62" fillId="23" borderId="32" applyNumberFormat="0" applyBorder="0" applyAlignment="0" applyProtection="0"/>
    <xf numFmtId="0" fontId="62" fillId="23" borderId="32" applyNumberFormat="0" applyBorder="0" applyAlignment="0" applyProtection="0"/>
    <xf numFmtId="0" fontId="59" fillId="41" borderId="32" applyNumberFormat="0" applyBorder="0" applyAlignment="0" applyProtection="0"/>
    <xf numFmtId="0" fontId="26" fillId="22" borderId="32" applyNumberFormat="0" applyBorder="0" applyAlignment="0" applyProtection="0"/>
    <xf numFmtId="169" fontId="26" fillId="22" borderId="32" applyNumberFormat="0" applyBorder="0" applyAlignment="0" applyProtection="0"/>
    <xf numFmtId="169" fontId="59" fillId="41" borderId="32" applyNumberFormat="0" applyBorder="0" applyAlignment="0" applyProtection="0"/>
    <xf numFmtId="0" fontId="62" fillId="22" borderId="32" applyNumberFormat="0" applyBorder="0" applyAlignment="0" applyProtection="0"/>
    <xf numFmtId="0" fontId="62" fillId="13" borderId="32" applyNumberFormat="0" applyBorder="0" applyAlignment="0" applyProtection="0"/>
    <xf numFmtId="169" fontId="62" fillId="13" borderId="32" applyNumberFormat="0" applyBorder="0" applyAlignment="0" applyProtection="0"/>
    <xf numFmtId="169" fontId="26" fillId="22" borderId="32" applyNumberFormat="0" applyBorder="0" applyAlignment="0" applyProtection="0"/>
    <xf numFmtId="0" fontId="62" fillId="13" borderId="32" applyNumberFormat="0" applyBorder="0" applyAlignment="0" applyProtection="0"/>
    <xf numFmtId="0" fontId="62" fillId="13" borderId="32" applyNumberFormat="0" applyBorder="0" applyAlignment="0" applyProtection="0"/>
    <xf numFmtId="0" fontId="62" fillId="13" borderId="32" applyNumberFormat="0" applyBorder="0" applyAlignment="0" applyProtection="0"/>
    <xf numFmtId="0" fontId="59" fillId="45" borderId="32" applyNumberFormat="0" applyBorder="0" applyAlignment="0" applyProtection="0"/>
    <xf numFmtId="0" fontId="26" fillId="15" borderId="32" applyNumberFormat="0" applyBorder="0" applyAlignment="0" applyProtection="0"/>
    <xf numFmtId="169" fontId="26" fillId="15" borderId="32" applyNumberFormat="0" applyBorder="0" applyAlignment="0" applyProtection="0"/>
    <xf numFmtId="169" fontId="59" fillId="45" borderId="32" applyNumberFormat="0" applyBorder="0" applyAlignment="0" applyProtection="0"/>
    <xf numFmtId="0" fontId="62" fillId="15" borderId="32" applyNumberFormat="0" applyBorder="0" applyAlignment="0" applyProtection="0"/>
    <xf numFmtId="0" fontId="62" fillId="59" borderId="32" applyNumberFormat="0" applyBorder="0" applyAlignment="0" applyProtection="0"/>
    <xf numFmtId="169" fontId="62" fillId="59" borderId="32" applyNumberFormat="0" applyBorder="0" applyAlignment="0" applyProtection="0"/>
    <xf numFmtId="169" fontId="26" fillId="15" borderId="32" applyNumberFormat="0" applyBorder="0" applyAlignment="0" applyProtection="0"/>
    <xf numFmtId="0" fontId="62" fillId="59" borderId="32" applyNumberFormat="0" applyBorder="0" applyAlignment="0" applyProtection="0"/>
    <xf numFmtId="0" fontId="62" fillId="59" borderId="32" applyNumberFormat="0" applyBorder="0" applyAlignment="0" applyProtection="0"/>
    <xf numFmtId="0" fontId="62" fillId="59" borderId="32" applyNumberFormat="0" applyBorder="0" applyAlignment="0" applyProtection="0"/>
    <xf numFmtId="0" fontId="59" fillId="49" borderId="32" applyNumberFormat="0" applyBorder="0" applyAlignment="0" applyProtection="0"/>
    <xf numFmtId="0" fontId="26" fillId="16" borderId="32" applyNumberFormat="0" applyBorder="0" applyAlignment="0" applyProtection="0"/>
    <xf numFmtId="169" fontId="26" fillId="16" borderId="32" applyNumberFormat="0" applyBorder="0" applyAlignment="0" applyProtection="0"/>
    <xf numFmtId="169" fontId="59" fillId="49" borderId="32" applyNumberFormat="0" applyBorder="0" applyAlignment="0" applyProtection="0"/>
    <xf numFmtId="0" fontId="62" fillId="16" borderId="32" applyNumberFormat="0" applyBorder="0" applyAlignment="0" applyProtection="0"/>
    <xf numFmtId="0" fontId="62" fillId="16" borderId="32" applyNumberFormat="0" applyBorder="0" applyAlignment="0" applyProtection="0"/>
    <xf numFmtId="169" fontId="62" fillId="16" borderId="32" applyNumberFormat="0" applyBorder="0" applyAlignment="0" applyProtection="0"/>
    <xf numFmtId="169" fontId="26" fillId="16" borderId="32" applyNumberFormat="0" applyBorder="0" applyAlignment="0" applyProtection="0"/>
    <xf numFmtId="0" fontId="62" fillId="16" borderId="32" applyNumberFormat="0" applyBorder="0" applyAlignment="0" applyProtection="0"/>
    <xf numFmtId="0" fontId="62" fillId="16" borderId="32" applyNumberFormat="0" applyBorder="0" applyAlignment="0" applyProtection="0"/>
    <xf numFmtId="0" fontId="62" fillId="16" borderId="32" applyNumberFormat="0" applyBorder="0" applyAlignment="0" applyProtection="0"/>
    <xf numFmtId="0" fontId="59" fillId="53" borderId="32" applyNumberFormat="0" applyBorder="0" applyAlignment="0" applyProtection="0"/>
    <xf numFmtId="0" fontId="26" fillId="23" borderId="32" applyNumberFormat="0" applyBorder="0" applyAlignment="0" applyProtection="0"/>
    <xf numFmtId="169" fontId="26" fillId="23" borderId="32" applyNumberFormat="0" applyBorder="0" applyAlignment="0" applyProtection="0"/>
    <xf numFmtId="169" fontId="59" fillId="53" borderId="32" applyNumberFormat="0" applyBorder="0" applyAlignment="0" applyProtection="0"/>
    <xf numFmtId="0" fontId="62" fillId="23" borderId="32" applyNumberFormat="0" applyBorder="0" applyAlignment="0" applyProtection="0"/>
    <xf numFmtId="0" fontId="62" fillId="21" borderId="32" applyNumberFormat="0" applyBorder="0" applyAlignment="0" applyProtection="0"/>
    <xf numFmtId="169" fontId="62" fillId="21" borderId="32" applyNumberFormat="0" applyBorder="0" applyAlignment="0" applyProtection="0"/>
    <xf numFmtId="169" fontId="26" fillId="23" borderId="32" applyNumberFormat="0" applyBorder="0" applyAlignment="0" applyProtection="0"/>
    <xf numFmtId="0" fontId="62" fillId="21" borderId="32" applyNumberFormat="0" applyBorder="0" applyAlignment="0" applyProtection="0"/>
    <xf numFmtId="0" fontId="62" fillId="21" borderId="32" applyNumberFormat="0" applyBorder="0" applyAlignment="0" applyProtection="0"/>
    <xf numFmtId="0" fontId="62" fillId="21" borderId="32" applyNumberFormat="0" applyBorder="0" applyAlignment="0" applyProtection="0"/>
    <xf numFmtId="0" fontId="51" fillId="29" borderId="64" applyNumberFormat="0" applyAlignment="0" applyProtection="0"/>
    <xf numFmtId="0" fontId="31" fillId="9" borderId="38" applyNumberFormat="0" applyAlignment="0" applyProtection="0"/>
    <xf numFmtId="169" fontId="31" fillId="9" borderId="38" applyNumberFormat="0" applyAlignment="0" applyProtection="0"/>
    <xf numFmtId="169" fontId="51" fillId="29" borderId="64" applyNumberFormat="0" applyAlignment="0" applyProtection="0"/>
    <xf numFmtId="0" fontId="71" fillId="9" borderId="38" applyNumberFormat="0" applyAlignment="0" applyProtection="0"/>
    <xf numFmtId="0" fontId="71" fillId="24" borderId="38" applyNumberFormat="0" applyAlignment="0" applyProtection="0"/>
    <xf numFmtId="169" fontId="71" fillId="24" borderId="38" applyNumberFormat="0" applyAlignment="0" applyProtection="0"/>
    <xf numFmtId="169" fontId="31" fillId="9" borderId="38" applyNumberFormat="0" applyAlignment="0" applyProtection="0"/>
    <xf numFmtId="0" fontId="71" fillId="24" borderId="38" applyNumberFormat="0" applyAlignment="0" applyProtection="0"/>
    <xf numFmtId="0" fontId="71" fillId="24" borderId="38" applyNumberFormat="0" applyAlignment="0" applyProtection="0"/>
    <xf numFmtId="0" fontId="71" fillId="24" borderId="38" applyNumberFormat="0" applyAlignment="0" applyProtection="0"/>
    <xf numFmtId="169" fontId="7" fillId="0" borderId="32" applyFont="0" applyFill="0" applyBorder="0" applyAlignment="0" applyProtection="0"/>
    <xf numFmtId="169" fontId="7" fillId="0" borderId="32" applyFont="0" applyFill="0" applyBorder="0" applyAlignment="0" applyProtection="0"/>
    <xf numFmtId="0" fontId="7" fillId="0" borderId="32" applyFont="0" applyFill="0" applyBorder="0" applyAlignment="0" applyProtection="0"/>
    <xf numFmtId="0" fontId="72" fillId="0" borderId="32" applyNumberFormat="0" applyFill="0" applyBorder="0" applyAlignment="0" applyProtection="0"/>
    <xf numFmtId="169" fontId="72" fillId="0" borderId="32" applyNumberFormat="0" applyFill="0" applyBorder="0" applyAlignment="0" applyProtection="0"/>
    <xf numFmtId="0" fontId="64" fillId="6" borderId="32" applyNumberFormat="0" applyBorder="0" applyAlignment="0" applyProtection="0"/>
    <xf numFmtId="169" fontId="64" fillId="6" borderId="32" applyNumberFormat="0" applyBorder="0" applyAlignment="0" applyProtection="0"/>
    <xf numFmtId="0" fontId="73" fillId="0" borderId="43" applyNumberFormat="0" applyFill="0" applyAlignment="0" applyProtection="0"/>
    <xf numFmtId="169" fontId="73" fillId="0" borderId="43" applyNumberFormat="0" applyFill="0" applyAlignment="0" applyProtection="0"/>
    <xf numFmtId="0" fontId="74" fillId="0" borderId="44" applyNumberFormat="0" applyFill="0" applyAlignment="0" applyProtection="0"/>
    <xf numFmtId="169" fontId="74" fillId="0" borderId="44" applyNumberFormat="0" applyFill="0" applyAlignment="0" applyProtection="0"/>
    <xf numFmtId="0" fontId="75" fillId="0" borderId="45" applyNumberFormat="0" applyFill="0" applyAlignment="0" applyProtection="0"/>
    <xf numFmtId="169" fontId="75" fillId="0" borderId="45" applyNumberFormat="0" applyFill="0" applyAlignment="0" applyProtection="0"/>
    <xf numFmtId="0" fontId="75" fillId="0" borderId="32" applyNumberFormat="0" applyFill="0" applyBorder="0" applyAlignment="0" applyProtection="0"/>
    <xf numFmtId="169" fontId="75" fillId="0" borderId="32" applyNumberFormat="0" applyFill="0" applyBorder="0" applyAlignment="0" applyProtection="0"/>
    <xf numFmtId="0" fontId="49" fillId="27" borderId="32" applyNumberFormat="0" applyBorder="0" applyAlignment="0" applyProtection="0"/>
    <xf numFmtId="0" fontId="32" fillId="5" borderId="32" applyNumberFormat="0" applyBorder="0" applyAlignment="0" applyProtection="0"/>
    <xf numFmtId="169" fontId="32" fillId="5" borderId="32" applyNumberFormat="0" applyBorder="0" applyAlignment="0" applyProtection="0"/>
    <xf numFmtId="169" fontId="49" fillId="27" borderId="32" applyNumberFormat="0" applyBorder="0" applyAlignment="0" applyProtection="0"/>
    <xf numFmtId="0" fontId="63" fillId="5" borderId="32" applyNumberFormat="0" applyBorder="0" applyAlignment="0" applyProtection="0"/>
    <xf numFmtId="0" fontId="63" fillId="7" borderId="32" applyNumberFormat="0" applyBorder="0" applyAlignment="0" applyProtection="0"/>
    <xf numFmtId="169" fontId="63" fillId="7" borderId="32" applyNumberFormat="0" applyBorder="0" applyAlignment="0" applyProtection="0"/>
    <xf numFmtId="169" fontId="32" fillId="5" borderId="32" applyNumberFormat="0" applyBorder="0" applyAlignment="0" applyProtection="0"/>
    <xf numFmtId="0" fontId="63" fillId="7" borderId="32" applyNumberFormat="0" applyBorder="0" applyAlignment="0" applyProtection="0"/>
    <xf numFmtId="0" fontId="63" fillId="7" borderId="32" applyNumberFormat="0" applyBorder="0" applyAlignment="0" applyProtection="0"/>
    <xf numFmtId="0" fontId="63" fillId="7" borderId="32" applyNumberFormat="0" applyBorder="0" applyAlignment="0" applyProtection="0"/>
    <xf numFmtId="0" fontId="71" fillId="9" borderId="38" applyNumberFormat="0" applyAlignment="0" applyProtection="0"/>
    <xf numFmtId="169" fontId="71" fillId="9" borderId="38" applyNumberFormat="0" applyAlignment="0" applyProtection="0"/>
    <xf numFmtId="0" fontId="69" fillId="0" borderId="40" applyNumberFormat="0" applyFill="0" applyAlignment="0" applyProtection="0"/>
    <xf numFmtId="169" fontId="69" fillId="0" borderId="40" applyNumberFormat="0" applyFill="0" applyAlignment="0" applyProtection="0"/>
    <xf numFmtId="168" fontId="43" fillId="0" borderId="32" applyFont="0" applyFill="0" applyBorder="0" applyAlignment="0" applyProtection="0"/>
    <xf numFmtId="168" fontId="4" fillId="0" borderId="32" applyFont="0" applyFill="0" applyBorder="0" applyAlignment="0" applyProtection="0"/>
    <xf numFmtId="168" fontId="4" fillId="0" borderId="32" applyFont="0" applyFill="0" applyBorder="0" applyAlignment="0" applyProtection="0"/>
    <xf numFmtId="168" fontId="4" fillId="0" borderId="32" applyFont="0" applyFill="0" applyBorder="0" applyAlignment="0" applyProtection="0"/>
    <xf numFmtId="168" fontId="4" fillId="0" borderId="32" applyFont="0" applyFill="0" applyBorder="0" applyAlignment="0" applyProtection="0"/>
    <xf numFmtId="168" fontId="4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44" fontId="4" fillId="0" borderId="32" applyFont="0" applyFill="0" applyBorder="0" applyAlignment="0" applyProtection="0"/>
    <xf numFmtId="44" fontId="4" fillId="0" borderId="32" applyFont="0" applyFill="0" applyBorder="0" applyAlignment="0" applyProtection="0"/>
    <xf numFmtId="44" fontId="4" fillId="0" borderId="32" applyFont="0" applyFill="0" applyBorder="0" applyAlignment="0" applyProtection="0"/>
    <xf numFmtId="44" fontId="4" fillId="0" borderId="32" applyFont="0" applyFill="0" applyBorder="0" applyAlignment="0" applyProtection="0"/>
    <xf numFmtId="44" fontId="4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44" fontId="60" fillId="0" borderId="32" applyFont="0" applyFill="0" applyBorder="0" applyAlignment="0" applyProtection="0"/>
    <xf numFmtId="44" fontId="60" fillId="0" borderId="32" applyFont="0" applyFill="0" applyBorder="0" applyAlignment="0" applyProtection="0"/>
    <xf numFmtId="0" fontId="50" fillId="28" borderId="32" applyNumberFormat="0" applyBorder="0" applyAlignment="0" applyProtection="0"/>
    <xf numFmtId="0" fontId="33" fillId="24" borderId="32" applyNumberFormat="0" applyBorder="0" applyAlignment="0" applyProtection="0"/>
    <xf numFmtId="169" fontId="33" fillId="24" borderId="32" applyNumberFormat="0" applyBorder="0" applyAlignment="0" applyProtection="0"/>
    <xf numFmtId="169" fontId="50" fillId="28" borderId="32" applyNumberFormat="0" applyBorder="0" applyAlignment="0" applyProtection="0"/>
    <xf numFmtId="0" fontId="76" fillId="24" borderId="32" applyNumberFormat="0" applyBorder="0" applyAlignment="0" applyProtection="0"/>
    <xf numFmtId="0" fontId="77" fillId="24" borderId="32" applyNumberFormat="0" applyBorder="0" applyAlignment="0" applyProtection="0"/>
    <xf numFmtId="169" fontId="77" fillId="24" borderId="32" applyNumberFormat="0" applyBorder="0" applyAlignment="0" applyProtection="0"/>
    <xf numFmtId="169" fontId="33" fillId="24" borderId="32" applyNumberFormat="0" applyBorder="0" applyAlignment="0" applyProtection="0"/>
    <xf numFmtId="0" fontId="77" fillId="24" borderId="32" applyNumberFormat="0" applyBorder="0" applyAlignment="0" applyProtection="0"/>
    <xf numFmtId="0" fontId="77" fillId="24" borderId="32" applyNumberFormat="0" applyBorder="0" applyAlignment="0" applyProtection="0"/>
    <xf numFmtId="0" fontId="77" fillId="24" borderId="32" applyNumberFormat="0" applyBorder="0" applyAlignment="0" applyProtection="0"/>
    <xf numFmtId="0" fontId="76" fillId="24" borderId="32" applyNumberFormat="0" applyBorder="0" applyAlignment="0" applyProtection="0"/>
    <xf numFmtId="169" fontId="76" fillId="24" borderId="32" applyNumberFormat="0" applyBorder="0" applyAlignment="0" applyProtection="0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0" fontId="7" fillId="0" borderId="32"/>
    <xf numFmtId="169" fontId="7" fillId="0" borderId="32"/>
    <xf numFmtId="0" fontId="4" fillId="0" borderId="32"/>
    <xf numFmtId="0" fontId="4" fillId="0" borderId="32"/>
    <xf numFmtId="169" fontId="4" fillId="0" borderId="32"/>
    <xf numFmtId="0" fontId="4" fillId="0" borderId="32"/>
    <xf numFmtId="0" fontId="60" fillId="0" borderId="32"/>
    <xf numFmtId="169" fontId="4" fillId="0" borderId="32"/>
    <xf numFmtId="0" fontId="4" fillId="0" borderId="32"/>
    <xf numFmtId="0" fontId="60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4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0" fontId="4" fillId="0" borderId="32"/>
    <xf numFmtId="0" fontId="4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0" fontId="4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0" fontId="4" fillId="0" borderId="32"/>
    <xf numFmtId="0" fontId="4" fillId="0" borderId="32"/>
    <xf numFmtId="0" fontId="4" fillId="0" borderId="32"/>
    <xf numFmtId="169" fontId="4" fillId="0" borderId="32"/>
    <xf numFmtId="0" fontId="4" fillId="0" borderId="32"/>
    <xf numFmtId="0" fontId="60" fillId="0" borderId="32"/>
    <xf numFmtId="169" fontId="4" fillId="0" borderId="32"/>
    <xf numFmtId="0" fontId="4" fillId="0" borderId="32"/>
    <xf numFmtId="0" fontId="4" fillId="0" borderId="32"/>
    <xf numFmtId="0" fontId="4" fillId="0" borderId="32"/>
    <xf numFmtId="0" fontId="60" fillId="0" borderId="32"/>
    <xf numFmtId="0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4" fillId="0" borderId="32"/>
    <xf numFmtId="169" fontId="4" fillId="0" borderId="32"/>
    <xf numFmtId="0" fontId="4" fillId="0" borderId="32"/>
    <xf numFmtId="0" fontId="60" fillId="0" borderId="32"/>
    <xf numFmtId="169" fontId="4" fillId="0" borderId="32"/>
    <xf numFmtId="0" fontId="4" fillId="0" borderId="32"/>
    <xf numFmtId="0" fontId="7" fillId="0" borderId="32"/>
    <xf numFmtId="0" fontId="7" fillId="0" borderId="32"/>
    <xf numFmtId="0" fontId="60" fillId="0" borderId="32"/>
    <xf numFmtId="0" fontId="7" fillId="0" borderId="32"/>
    <xf numFmtId="0" fontId="4" fillId="0" borderId="32"/>
    <xf numFmtId="0" fontId="4" fillId="0" borderId="32"/>
    <xf numFmtId="169" fontId="4" fillId="0" borderId="32"/>
    <xf numFmtId="0" fontId="4" fillId="0" borderId="32"/>
    <xf numFmtId="0" fontId="60" fillId="0" borderId="32"/>
    <xf numFmtId="169" fontId="4" fillId="0" borderId="32"/>
    <xf numFmtId="0" fontId="4" fillId="0" borderId="32"/>
    <xf numFmtId="0" fontId="4" fillId="0" borderId="32"/>
    <xf numFmtId="0" fontId="4" fillId="0" borderId="32"/>
    <xf numFmtId="0" fontId="60" fillId="0" borderId="32"/>
    <xf numFmtId="0" fontId="7" fillId="0" borderId="32"/>
    <xf numFmtId="169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0" fontId="4" fillId="32" borderId="68" applyNumberFormat="0" applyFont="0" applyAlignment="0" applyProtection="0"/>
    <xf numFmtId="0" fontId="7" fillId="25" borderId="41" applyNumberFormat="0" applyFont="0" applyAlignment="0" applyProtection="0"/>
    <xf numFmtId="0" fontId="4" fillId="32" borderId="68" applyNumberFormat="0" applyFont="0" applyAlignment="0" applyProtection="0"/>
    <xf numFmtId="0" fontId="25" fillId="25" borderId="41" applyNumberFormat="0" applyFont="0" applyAlignment="0" applyProtection="0"/>
    <xf numFmtId="169" fontId="25" fillId="25" borderId="41" applyNumberFormat="0" applyFont="0" applyAlignment="0" applyProtection="0"/>
    <xf numFmtId="0" fontId="4" fillId="32" borderId="68" applyNumberFormat="0" applyFont="0" applyAlignment="0" applyProtection="0"/>
    <xf numFmtId="169" fontId="4" fillId="32" borderId="68" applyNumberFormat="0" applyFont="0" applyAlignment="0" applyProtection="0"/>
    <xf numFmtId="0" fontId="4" fillId="32" borderId="68" applyNumberFormat="0" applyFont="0" applyAlignment="0" applyProtection="0"/>
    <xf numFmtId="0" fontId="60" fillId="25" borderId="41" applyNumberFormat="0" applyFont="0" applyAlignment="0" applyProtection="0"/>
    <xf numFmtId="169" fontId="4" fillId="32" borderId="68" applyNumberFormat="0" applyFont="0" applyAlignment="0" applyProtection="0"/>
    <xf numFmtId="0" fontId="4" fillId="32" borderId="68" applyNumberFormat="0" applyFont="0" applyAlignment="0" applyProtection="0"/>
    <xf numFmtId="0" fontId="60" fillId="25" borderId="41" applyNumberFormat="0" applyFont="0" applyAlignment="0" applyProtection="0"/>
    <xf numFmtId="0" fontId="60" fillId="32" borderId="68" applyNumberFormat="0" applyFont="0" applyAlignment="0" applyProtection="0"/>
    <xf numFmtId="0" fontId="60" fillId="32" borderId="68" applyNumberFormat="0" applyFont="0" applyAlignment="0" applyProtection="0"/>
    <xf numFmtId="169" fontId="60" fillId="32" borderId="68" applyNumberFormat="0" applyFont="0" applyAlignment="0" applyProtection="0"/>
    <xf numFmtId="0" fontId="60" fillId="25" borderId="41" applyNumberFormat="0" applyFont="0" applyAlignment="0" applyProtection="0"/>
    <xf numFmtId="169" fontId="60" fillId="32" borderId="68" applyNumberFormat="0" applyFont="0" applyAlignment="0" applyProtection="0"/>
    <xf numFmtId="0" fontId="60" fillId="25" borderId="41" applyNumberFormat="0" applyFont="0" applyAlignment="0" applyProtection="0"/>
    <xf numFmtId="0" fontId="60" fillId="32" borderId="68" applyNumberFormat="0" applyFont="0" applyAlignment="0" applyProtection="0"/>
    <xf numFmtId="169" fontId="60" fillId="32" borderId="68" applyNumberFormat="0" applyFont="0" applyAlignment="0" applyProtection="0"/>
    <xf numFmtId="0" fontId="60" fillId="25" borderId="41" applyNumberFormat="0" applyFont="0" applyAlignment="0" applyProtection="0"/>
    <xf numFmtId="0" fontId="7" fillId="25" borderId="41" applyNumberFormat="0" applyFont="0" applyAlignment="0" applyProtection="0"/>
    <xf numFmtId="169" fontId="7" fillId="25" borderId="41" applyNumberFormat="0" applyFont="0" applyAlignment="0" applyProtection="0"/>
    <xf numFmtId="0" fontId="4" fillId="32" borderId="68" applyNumberFormat="0" applyFont="0" applyAlignment="0" applyProtection="0"/>
    <xf numFmtId="0" fontId="4" fillId="32" borderId="68" applyNumberFormat="0" applyFont="0" applyAlignment="0" applyProtection="0"/>
    <xf numFmtId="169" fontId="4" fillId="32" borderId="68" applyNumberFormat="0" applyFont="0" applyAlignment="0" applyProtection="0"/>
    <xf numFmtId="0" fontId="4" fillId="32" borderId="68" applyNumberFormat="0" applyFont="0" applyAlignment="0" applyProtection="0"/>
    <xf numFmtId="0" fontId="60" fillId="25" borderId="41" applyNumberFormat="0" applyFont="0" applyAlignment="0" applyProtection="0"/>
    <xf numFmtId="169" fontId="4" fillId="32" borderId="68" applyNumberFormat="0" applyFont="0" applyAlignment="0" applyProtection="0"/>
    <xf numFmtId="0" fontId="4" fillId="32" borderId="68" applyNumberFormat="0" applyFont="0" applyAlignment="0" applyProtection="0"/>
    <xf numFmtId="0" fontId="60" fillId="25" borderId="41" applyNumberFormat="0" applyFont="0" applyAlignment="0" applyProtection="0"/>
    <xf numFmtId="0" fontId="7" fillId="25" borderId="41" applyNumberFormat="0" applyFont="0" applyAlignment="0" applyProtection="0"/>
    <xf numFmtId="169" fontId="7" fillId="25" borderId="41" applyNumberFormat="0" applyFont="0" applyAlignment="0" applyProtection="0"/>
    <xf numFmtId="169" fontId="25" fillId="25" borderId="41" applyNumberFormat="0" applyFont="0" applyAlignment="0" applyProtection="0"/>
    <xf numFmtId="0" fontId="4" fillId="32" borderId="68" applyNumberFormat="0" applyFont="0" applyAlignment="0" applyProtection="0"/>
    <xf numFmtId="0" fontId="60" fillId="25" borderId="41" applyNumberFormat="0" applyFont="0" applyAlignment="0" applyProtection="0"/>
    <xf numFmtId="169" fontId="60" fillId="25" borderId="41" applyNumberFormat="0" applyFont="0" applyAlignment="0" applyProtection="0"/>
    <xf numFmtId="0" fontId="78" fillId="18" borderId="42" applyNumberFormat="0" applyAlignment="0" applyProtection="0"/>
    <xf numFmtId="169" fontId="78" fillId="18" borderId="42" applyNumberFormat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4" fillId="0" borderId="32" applyFont="0" applyFill="0" applyBorder="0" applyAlignment="0" applyProtection="0"/>
    <xf numFmtId="9" fontId="4" fillId="0" borderId="32" applyFont="0" applyFill="0" applyBorder="0" applyAlignment="0" applyProtection="0"/>
    <xf numFmtId="9" fontId="4" fillId="0" borderId="32" applyFont="0" applyFill="0" applyBorder="0" applyAlignment="0" applyProtection="0"/>
    <xf numFmtId="9" fontId="4" fillId="0" borderId="32" applyFont="0" applyFill="0" applyBorder="0" applyAlignment="0" applyProtection="0"/>
    <xf numFmtId="9" fontId="4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60" fillId="0" borderId="32" applyFont="0" applyFill="0" applyBorder="0" applyAlignment="0" applyProtection="0"/>
    <xf numFmtId="9" fontId="60" fillId="0" borderId="32" applyFont="0" applyFill="0" applyBorder="0" applyAlignment="0" applyProtection="0"/>
    <xf numFmtId="0" fontId="52" fillId="30" borderId="65" applyNumberFormat="0" applyAlignment="0" applyProtection="0"/>
    <xf numFmtId="0" fontId="34" fillId="18" borderId="42" applyNumberFormat="0" applyAlignment="0" applyProtection="0"/>
    <xf numFmtId="169" fontId="34" fillId="18" borderId="42" applyNumberFormat="0" applyAlignment="0" applyProtection="0"/>
    <xf numFmtId="169" fontId="52" fillId="30" borderId="65" applyNumberFormat="0" applyAlignment="0" applyProtection="0"/>
    <xf numFmtId="0" fontId="78" fillId="18" borderId="42" applyNumberFormat="0" applyAlignment="0" applyProtection="0"/>
    <xf numFmtId="0" fontId="78" fillId="57" borderId="42" applyNumberFormat="0" applyAlignment="0" applyProtection="0"/>
    <xf numFmtId="169" fontId="78" fillId="57" borderId="42" applyNumberFormat="0" applyAlignment="0" applyProtection="0"/>
    <xf numFmtId="169" fontId="34" fillId="18" borderId="42" applyNumberFormat="0" applyAlignment="0" applyProtection="0"/>
    <xf numFmtId="0" fontId="78" fillId="57" borderId="42" applyNumberFormat="0" applyAlignment="0" applyProtection="0"/>
    <xf numFmtId="0" fontId="78" fillId="57" borderId="42" applyNumberFormat="0" applyAlignment="0" applyProtection="0"/>
    <xf numFmtId="0" fontId="78" fillId="57" borderId="42" applyNumberFormat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0" fontId="56" fillId="0" borderId="32" applyNumberFormat="0" applyFill="0" applyBorder="0" applyAlignment="0" applyProtection="0"/>
    <xf numFmtId="0" fontId="35" fillId="0" borderId="32" applyNumberFormat="0" applyFill="0" applyBorder="0" applyAlignment="0" applyProtection="0"/>
    <xf numFmtId="169" fontId="35" fillId="0" borderId="32" applyNumberFormat="0" applyFill="0" applyBorder="0" applyAlignment="0" applyProtection="0"/>
    <xf numFmtId="169" fontId="56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169" fontId="70" fillId="0" borderId="32" applyNumberFormat="0" applyFill="0" applyBorder="0" applyAlignment="0" applyProtection="0"/>
    <xf numFmtId="169" fontId="35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0" fontId="57" fillId="0" borderId="32" applyNumberFormat="0" applyFill="0" applyBorder="0" applyAlignment="0" applyProtection="0"/>
    <xf numFmtId="0" fontId="36" fillId="0" borderId="32" applyNumberFormat="0" applyFill="0" applyBorder="0" applyAlignment="0" applyProtection="0"/>
    <xf numFmtId="169" fontId="36" fillId="0" borderId="32" applyNumberFormat="0" applyFill="0" applyBorder="0" applyAlignment="0" applyProtection="0"/>
    <xf numFmtId="169" fontId="57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169" fontId="72" fillId="0" borderId="32" applyNumberFormat="0" applyFill="0" applyBorder="0" applyAlignment="0" applyProtection="0"/>
    <xf numFmtId="169" fontId="36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169" fontId="37" fillId="0" borderId="32" applyNumberFormat="0" applyFill="0" applyBorder="0" applyAlignment="0" applyProtection="0"/>
    <xf numFmtId="0" fontId="45" fillId="0" borderId="61" applyNumberFormat="0" applyFill="0" applyAlignment="0" applyProtection="0"/>
    <xf numFmtId="0" fontId="38" fillId="0" borderId="43" applyNumberFormat="0" applyFill="0" applyAlignment="0" applyProtection="0"/>
    <xf numFmtId="169" fontId="38" fillId="0" borderId="43" applyNumberFormat="0" applyFill="0" applyAlignment="0" applyProtection="0"/>
    <xf numFmtId="169" fontId="45" fillId="0" borderId="61" applyNumberFormat="0" applyFill="0" applyAlignment="0" applyProtection="0"/>
    <xf numFmtId="0" fontId="73" fillId="0" borderId="43" applyNumberFormat="0" applyFill="0" applyAlignment="0" applyProtection="0"/>
    <xf numFmtId="0" fontId="79" fillId="0" borderId="71" applyNumberFormat="0" applyFill="0" applyAlignment="0" applyProtection="0"/>
    <xf numFmtId="169" fontId="79" fillId="0" borderId="71" applyNumberFormat="0" applyFill="0" applyAlignment="0" applyProtection="0"/>
    <xf numFmtId="169" fontId="38" fillId="0" borderId="43" applyNumberFormat="0" applyFill="0" applyAlignment="0" applyProtection="0"/>
    <xf numFmtId="0" fontId="79" fillId="0" borderId="71" applyNumberFormat="0" applyFill="0" applyAlignment="0" applyProtection="0"/>
    <xf numFmtId="0" fontId="79" fillId="0" borderId="71" applyNumberFormat="0" applyFill="0" applyAlignment="0" applyProtection="0"/>
    <xf numFmtId="0" fontId="79" fillId="0" borderId="71" applyNumberFormat="0" applyFill="0" applyAlignment="0" applyProtection="0"/>
    <xf numFmtId="0" fontId="80" fillId="0" borderId="32" applyNumberFormat="0" applyFill="0" applyBorder="0" applyAlignment="0" applyProtection="0"/>
    <xf numFmtId="0" fontId="80" fillId="0" borderId="32" applyNumberFormat="0" applyFill="0" applyBorder="0" applyAlignment="0" applyProtection="0"/>
    <xf numFmtId="0" fontId="80" fillId="0" borderId="32" applyNumberFormat="0" applyFill="0" applyBorder="0" applyAlignment="0" applyProtection="0"/>
    <xf numFmtId="0" fontId="46" fillId="0" borderId="62" applyNumberFormat="0" applyFill="0" applyAlignment="0" applyProtection="0"/>
    <xf numFmtId="0" fontId="39" fillId="0" borderId="44" applyNumberFormat="0" applyFill="0" applyAlignment="0" applyProtection="0"/>
    <xf numFmtId="169" fontId="39" fillId="0" borderId="44" applyNumberFormat="0" applyFill="0" applyAlignment="0" applyProtection="0"/>
    <xf numFmtId="169" fontId="46" fillId="0" borderId="62" applyNumberFormat="0" applyFill="0" applyAlignment="0" applyProtection="0"/>
    <xf numFmtId="0" fontId="74" fillId="0" borderId="44" applyNumberFormat="0" applyFill="0" applyAlignment="0" applyProtection="0"/>
    <xf numFmtId="0" fontId="81" fillId="0" borderId="72" applyNumberFormat="0" applyFill="0" applyAlignment="0" applyProtection="0"/>
    <xf numFmtId="169" fontId="81" fillId="0" borderId="72" applyNumberFormat="0" applyFill="0" applyAlignment="0" applyProtection="0"/>
    <xf numFmtId="169" fontId="39" fillId="0" borderId="44" applyNumberFormat="0" applyFill="0" applyAlignment="0" applyProtection="0"/>
    <xf numFmtId="0" fontId="81" fillId="0" borderId="72" applyNumberFormat="0" applyFill="0" applyAlignment="0" applyProtection="0"/>
    <xf numFmtId="0" fontId="81" fillId="0" borderId="72" applyNumberFormat="0" applyFill="0" applyAlignment="0" applyProtection="0"/>
    <xf numFmtId="0" fontId="81" fillId="0" borderId="72" applyNumberFormat="0" applyFill="0" applyAlignment="0" applyProtection="0"/>
    <xf numFmtId="0" fontId="47" fillId="0" borderId="63" applyNumberFormat="0" applyFill="0" applyAlignment="0" applyProtection="0"/>
    <xf numFmtId="0" fontId="40" fillId="0" borderId="45" applyNumberFormat="0" applyFill="0" applyAlignment="0" applyProtection="0"/>
    <xf numFmtId="169" fontId="40" fillId="0" borderId="45" applyNumberFormat="0" applyFill="0" applyAlignment="0" applyProtection="0"/>
    <xf numFmtId="169" fontId="47" fillId="0" borderId="63" applyNumberFormat="0" applyFill="0" applyAlignment="0" applyProtection="0"/>
    <xf numFmtId="0" fontId="75" fillId="0" borderId="45" applyNumberFormat="0" applyFill="0" applyAlignment="0" applyProtection="0"/>
    <xf numFmtId="0" fontId="82" fillId="0" borderId="73" applyNumberFormat="0" applyFill="0" applyAlignment="0" applyProtection="0"/>
    <xf numFmtId="169" fontId="82" fillId="0" borderId="73" applyNumberFormat="0" applyFill="0" applyAlignment="0" applyProtection="0"/>
    <xf numFmtId="169" fontId="40" fillId="0" borderId="45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47" fillId="0" borderId="32" applyNumberFormat="0" applyFill="0" applyBorder="0" applyAlignment="0" applyProtection="0"/>
    <xf numFmtId="0" fontId="40" fillId="0" borderId="32" applyNumberFormat="0" applyFill="0" applyBorder="0" applyAlignment="0" applyProtection="0"/>
    <xf numFmtId="169" fontId="40" fillId="0" borderId="32" applyNumberFormat="0" applyFill="0" applyBorder="0" applyAlignment="0" applyProtection="0"/>
    <xf numFmtId="169" fontId="47" fillId="0" borderId="32" applyNumberFormat="0" applyFill="0" applyBorder="0" applyAlignment="0" applyProtection="0"/>
    <xf numFmtId="0" fontId="75" fillId="0" borderId="32" applyNumberFormat="0" applyFill="0" applyBorder="0" applyAlignment="0" applyProtection="0"/>
    <xf numFmtId="0" fontId="82" fillId="0" borderId="32" applyNumberFormat="0" applyFill="0" applyBorder="0" applyAlignment="0" applyProtection="0"/>
    <xf numFmtId="169" fontId="82" fillId="0" borderId="32" applyNumberFormat="0" applyFill="0" applyBorder="0" applyAlignment="0" applyProtection="0"/>
    <xf numFmtId="169" fontId="40" fillId="0" borderId="32" applyNumberFormat="0" applyFill="0" applyBorder="0" applyAlignment="0" applyProtection="0"/>
    <xf numFmtId="0" fontId="82" fillId="0" borderId="32" applyNumberFormat="0" applyFill="0" applyBorder="0" applyAlignment="0" applyProtection="0"/>
    <xf numFmtId="0" fontId="82" fillId="0" borderId="32" applyNumberFormat="0" applyFill="0" applyBorder="0" applyAlignment="0" applyProtection="0"/>
    <xf numFmtId="0" fontId="82" fillId="0" borderId="32" applyNumberFormat="0" applyFill="0" applyBorder="0" applyAlignment="0" applyProtection="0"/>
    <xf numFmtId="0" fontId="44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169" fontId="37" fillId="0" borderId="32" applyNumberFormat="0" applyFill="0" applyBorder="0" applyAlignment="0" applyProtection="0"/>
    <xf numFmtId="169" fontId="44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80" fillId="0" borderId="32" applyNumberFormat="0" applyFill="0" applyBorder="0" applyAlignment="0" applyProtection="0"/>
    <xf numFmtId="169" fontId="80" fillId="0" borderId="32" applyNumberFormat="0" applyFill="0" applyBorder="0" applyAlignment="0" applyProtection="0"/>
    <xf numFmtId="169" fontId="37" fillId="0" borderId="32" applyNumberFormat="0" applyFill="0" applyBorder="0" applyAlignment="0" applyProtection="0"/>
    <xf numFmtId="0" fontId="44" fillId="0" borderId="32" applyNumberFormat="0" applyFill="0" applyBorder="0" applyAlignment="0" applyProtection="0"/>
    <xf numFmtId="0" fontId="44" fillId="0" borderId="32" applyNumberFormat="0" applyFill="0" applyBorder="0" applyAlignment="0" applyProtection="0"/>
    <xf numFmtId="0" fontId="58" fillId="0" borderId="69" applyNumberFormat="0" applyFill="0" applyAlignment="0" applyProtection="0"/>
    <xf numFmtId="0" fontId="41" fillId="0" borderId="46" applyNumberFormat="0" applyFill="0" applyAlignment="0" applyProtection="0"/>
    <xf numFmtId="169" fontId="41" fillId="0" borderId="46" applyNumberFormat="0" applyFill="0" applyAlignment="0" applyProtection="0"/>
    <xf numFmtId="169" fontId="58" fillId="0" borderId="69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169" fontId="61" fillId="0" borderId="46" applyNumberFormat="0" applyFill="0" applyAlignment="0" applyProtection="0"/>
    <xf numFmtId="169" fontId="4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43" fontId="7" fillId="0" borderId="32" applyFont="0" applyFill="0" applyBorder="0" applyAlignment="0" applyProtection="0"/>
    <xf numFmtId="43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43" fontId="4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60" fillId="0" borderId="32" applyFont="0" applyFill="0" applyBorder="0" applyAlignment="0" applyProtection="0"/>
    <xf numFmtId="43" fontId="60" fillId="0" borderId="32" applyFont="0" applyFill="0" applyBorder="0" applyAlignment="0" applyProtection="0"/>
    <xf numFmtId="0" fontId="70" fillId="0" borderId="32" applyNumberFormat="0" applyFill="0" applyBorder="0" applyAlignment="0" applyProtection="0"/>
    <xf numFmtId="169" fontId="70" fillId="0" borderId="32" applyNumberFormat="0" applyFill="0" applyBorder="0" applyAlignment="0" applyProtection="0"/>
    <xf numFmtId="43" fontId="84" fillId="0" borderId="0" applyFont="0" applyFill="0" applyBorder="0" applyAlignment="0" applyProtection="0"/>
    <xf numFmtId="0" fontId="7" fillId="0" borderId="32"/>
    <xf numFmtId="0" fontId="7" fillId="0" borderId="32"/>
    <xf numFmtId="44" fontId="7" fillId="0" borderId="32" applyFont="0" applyFill="0" applyBorder="0" applyAlignment="0" applyProtection="0"/>
    <xf numFmtId="43" fontId="7" fillId="0" borderId="32" applyFont="0" applyFill="0" applyBorder="0" applyAlignment="0" applyProtection="0"/>
    <xf numFmtId="44" fontId="60" fillId="0" borderId="32" applyFont="0" applyFill="0" applyBorder="0" applyAlignment="0" applyProtection="0"/>
    <xf numFmtId="0" fontId="60" fillId="8" borderId="32" applyNumberFormat="0" applyBorder="0" applyAlignment="0" applyProtection="0"/>
    <xf numFmtId="0" fontId="60" fillId="25" borderId="32" applyNumberFormat="0" applyBorder="0" applyAlignment="0" applyProtection="0"/>
    <xf numFmtId="0" fontId="60" fillId="8" borderId="32" applyNumberFormat="0" applyBorder="0" applyAlignment="0" applyProtection="0"/>
    <xf numFmtId="0" fontId="60" fillId="11" borderId="32" applyNumberFormat="0" applyBorder="0" applyAlignment="0" applyProtection="0"/>
    <xf numFmtId="0" fontId="60" fillId="5" borderId="32" applyNumberFormat="0" applyBorder="0" applyAlignment="0" applyProtection="0"/>
    <xf numFmtId="0" fontId="60" fillId="8" borderId="32" applyNumberFormat="0" applyBorder="0" applyAlignment="0" applyProtection="0"/>
    <xf numFmtId="0" fontId="60" fillId="25" borderId="32" applyNumberFormat="0" applyBorder="0" applyAlignment="0" applyProtection="0"/>
    <xf numFmtId="0" fontId="62" fillId="8" borderId="32" applyNumberFormat="0" applyBorder="0" applyAlignment="0" applyProtection="0"/>
    <xf numFmtId="0" fontId="62" fillId="23" borderId="32" applyNumberFormat="0" applyBorder="0" applyAlignment="0" applyProtection="0"/>
    <xf numFmtId="0" fontId="59" fillId="12" borderId="32" applyNumberFormat="0" applyBorder="0" applyAlignment="0" applyProtection="0"/>
    <xf numFmtId="0" fontId="59" fillId="15" borderId="32" applyNumberFormat="0" applyBorder="0" applyAlignment="0" applyProtection="0"/>
    <xf numFmtId="0" fontId="62" fillId="8" borderId="32" applyNumberFormat="0" applyBorder="0" applyAlignment="0" applyProtection="0"/>
    <xf numFmtId="0" fontId="59" fillId="17" borderId="32" applyNumberFormat="0" applyBorder="0" applyAlignment="0" applyProtection="0"/>
    <xf numFmtId="0" fontId="64" fillId="8" borderId="32" applyNumberFormat="0" applyBorder="0" applyAlignment="0" applyProtection="0"/>
    <xf numFmtId="0" fontId="66" fillId="57" borderId="38" applyNumberFormat="0" applyAlignment="0" applyProtection="0"/>
    <xf numFmtId="0" fontId="96" fillId="0" borderId="32"/>
    <xf numFmtId="0" fontId="68" fillId="19" borderId="39" applyNumberFormat="0" applyAlignment="0" applyProtection="0"/>
    <xf numFmtId="0" fontId="70" fillId="0" borderId="70" applyNumberFormat="0" applyFill="0" applyAlignment="0" applyProtection="0"/>
    <xf numFmtId="0" fontId="62" fillId="58" borderId="32" applyNumberFormat="0" applyBorder="0" applyAlignment="0" applyProtection="0"/>
    <xf numFmtId="0" fontId="62" fillId="23" borderId="32" applyNumberFormat="0" applyBorder="0" applyAlignment="0" applyProtection="0"/>
    <xf numFmtId="0" fontId="62" fillId="13" borderId="32" applyNumberFormat="0" applyBorder="0" applyAlignment="0" applyProtection="0"/>
    <xf numFmtId="0" fontId="62" fillId="59" borderId="32" applyNumberFormat="0" applyBorder="0" applyAlignment="0" applyProtection="0"/>
    <xf numFmtId="0" fontId="62" fillId="16" borderId="32" applyNumberFormat="0" applyBorder="0" applyAlignment="0" applyProtection="0"/>
    <xf numFmtId="0" fontId="62" fillId="21" borderId="32" applyNumberFormat="0" applyBorder="0" applyAlignment="0" applyProtection="0"/>
    <xf numFmtId="0" fontId="71" fillId="24" borderId="38" applyNumberFormat="0" applyAlignment="0" applyProtection="0"/>
    <xf numFmtId="0" fontId="97" fillId="0" borderId="32" applyNumberFormat="0" applyFill="0" applyBorder="0" applyAlignment="0" applyProtection="0"/>
    <xf numFmtId="0" fontId="23" fillId="0" borderId="32" applyNumberFormat="0" applyFill="0" applyBorder="0" applyAlignment="0" applyProtection="0">
      <alignment vertical="top"/>
      <protection locked="0"/>
    </xf>
    <xf numFmtId="0" fontId="63" fillId="7" borderId="32" applyNumberFormat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168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168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168" fontId="3" fillId="0" borderId="32" applyFont="0" applyFill="0" applyBorder="0" applyAlignment="0" applyProtection="0"/>
    <xf numFmtId="168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168" fontId="7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168" fontId="7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44" fontId="3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60" fillId="0" borderId="32" applyFont="0" applyFill="0" applyBorder="0" applyAlignment="0" applyProtection="0"/>
    <xf numFmtId="168" fontId="7" fillId="0" borderId="32" applyFont="0" applyFill="0" applyBorder="0" applyAlignment="0" applyProtection="0"/>
    <xf numFmtId="44" fontId="60" fillId="0" borderId="32" applyFont="0" applyFill="0" applyBorder="0" applyAlignment="0" applyProtection="0"/>
    <xf numFmtId="44" fontId="60" fillId="0" borderId="32" applyFont="0" applyFill="0" applyBorder="0" applyAlignment="0" applyProtection="0"/>
    <xf numFmtId="44" fontId="7" fillId="0" borderId="32" applyFont="0" applyFill="0" applyBorder="0" applyAlignment="0" applyProtection="0"/>
    <xf numFmtId="0" fontId="77" fillId="24" borderId="32" applyNumberFormat="0" applyBorder="0" applyAlignment="0" applyProtection="0"/>
    <xf numFmtId="0" fontId="3" fillId="0" borderId="32"/>
    <xf numFmtId="0" fontId="3" fillId="0" borderId="32"/>
    <xf numFmtId="169" fontId="7" fillId="0" borderId="32"/>
    <xf numFmtId="0" fontId="3" fillId="0" borderId="32"/>
    <xf numFmtId="0" fontId="7" fillId="0" borderId="32"/>
    <xf numFmtId="0" fontId="98" fillId="0" borderId="32"/>
    <xf numFmtId="0" fontId="7" fillId="0" borderId="32"/>
    <xf numFmtId="169" fontId="3" fillId="0" borderId="32"/>
    <xf numFmtId="0" fontId="3" fillId="0" borderId="32"/>
    <xf numFmtId="0" fontId="21" fillId="0" borderId="32"/>
    <xf numFmtId="0" fontId="3" fillId="0" borderId="32"/>
    <xf numFmtId="0" fontId="21" fillId="0" borderId="32"/>
    <xf numFmtId="0" fontId="3" fillId="0" borderId="32"/>
    <xf numFmtId="0" fontId="7" fillId="0" borderId="32"/>
    <xf numFmtId="169" fontId="3" fillId="0" borderId="32"/>
    <xf numFmtId="0" fontId="3" fillId="0" borderId="32"/>
    <xf numFmtId="0" fontId="3" fillId="0" borderId="32"/>
    <xf numFmtId="0" fontId="3" fillId="0" borderId="32"/>
    <xf numFmtId="0" fontId="7" fillId="0" borderId="32"/>
    <xf numFmtId="0" fontId="3" fillId="0" borderId="32"/>
    <xf numFmtId="0" fontId="3" fillId="0" borderId="32"/>
    <xf numFmtId="0" fontId="3" fillId="0" borderId="32"/>
    <xf numFmtId="169" fontId="7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169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169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0" fontId="3" fillId="0" borderId="32"/>
    <xf numFmtId="169" fontId="7" fillId="0" borderId="32"/>
    <xf numFmtId="0" fontId="3" fillId="0" borderId="32"/>
    <xf numFmtId="0" fontId="3" fillId="0" borderId="32"/>
    <xf numFmtId="0" fontId="3" fillId="0" borderId="32"/>
    <xf numFmtId="0" fontId="7" fillId="0" borderId="32"/>
    <xf numFmtId="0" fontId="3" fillId="0" borderId="32"/>
    <xf numFmtId="0" fontId="3" fillId="0" borderId="32"/>
    <xf numFmtId="0" fontId="3" fillId="0" borderId="32"/>
    <xf numFmtId="169" fontId="7" fillId="0" borderId="32"/>
    <xf numFmtId="0" fontId="3" fillId="0" borderId="32"/>
    <xf numFmtId="0" fontId="60" fillId="0" borderId="32"/>
    <xf numFmtId="0" fontId="3" fillId="0" borderId="32"/>
    <xf numFmtId="9" fontId="99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3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60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60" fillId="0" borderId="32" applyFont="0" applyFill="0" applyBorder="0" applyAlignment="0" applyProtection="0"/>
    <xf numFmtId="9" fontId="60" fillId="0" borderId="32" applyFont="0" applyFill="0" applyBorder="0" applyAlignment="0" applyProtection="0"/>
    <xf numFmtId="9" fontId="7" fillId="0" borderId="32" applyFill="0" applyBorder="0" applyAlignment="0" applyProtection="0"/>
    <xf numFmtId="0" fontId="78" fillId="57" borderId="42" applyNumberFormat="0" applyAlignment="0" applyProtection="0"/>
    <xf numFmtId="0" fontId="70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0" fontId="79" fillId="0" borderId="71" applyNumberFormat="0" applyFill="0" applyAlignment="0" applyProtection="0"/>
    <xf numFmtId="0" fontId="81" fillId="0" borderId="72" applyNumberFormat="0" applyFill="0" applyAlignment="0" applyProtection="0"/>
    <xf numFmtId="0" fontId="82" fillId="0" borderId="73" applyNumberFormat="0" applyFill="0" applyAlignment="0" applyProtection="0"/>
    <xf numFmtId="0" fontId="82" fillId="0" borderId="32" applyNumberFormat="0" applyFill="0" applyBorder="0" applyAlignment="0" applyProtection="0"/>
    <xf numFmtId="0" fontId="80" fillId="0" borderId="32" applyNumberFormat="0" applyFill="0" applyBorder="0" applyAlignment="0" applyProtection="0"/>
    <xf numFmtId="0" fontId="61" fillId="0" borderId="46" applyNumberFormat="0" applyFill="0" applyAlignment="0" applyProtection="0"/>
    <xf numFmtId="43" fontId="60" fillId="0" borderId="32" applyFont="0" applyFill="0" applyBorder="0" applyAlignment="0" applyProtection="0"/>
    <xf numFmtId="167" fontId="99" fillId="0" borderId="32" applyFont="0" applyFill="0" applyBorder="0" applyAlignment="0" applyProtection="0"/>
    <xf numFmtId="43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7" fillId="0" borderId="32" applyFont="0" applyFill="0" applyBorder="0" applyAlignment="0" applyProtection="0"/>
    <xf numFmtId="43" fontId="3" fillId="0" borderId="32" applyFont="0" applyFill="0" applyBorder="0" applyAlignment="0" applyProtection="0"/>
    <xf numFmtId="43" fontId="3" fillId="0" borderId="32" applyFont="0" applyFill="0" applyBorder="0" applyAlignment="0" applyProtection="0"/>
    <xf numFmtId="43" fontId="3" fillId="0" borderId="32" applyFont="0" applyFill="0" applyBorder="0" applyAlignment="0" applyProtection="0"/>
    <xf numFmtId="43" fontId="60" fillId="0" borderId="32" applyFont="0" applyFill="0" applyBorder="0" applyAlignment="0" applyProtection="0"/>
    <xf numFmtId="43" fontId="3" fillId="0" borderId="32" applyFont="0" applyFill="0" applyBorder="0" applyAlignment="0" applyProtection="0"/>
    <xf numFmtId="43" fontId="3" fillId="0" borderId="32" applyFont="0" applyFill="0" applyBorder="0" applyAlignment="0" applyProtection="0"/>
    <xf numFmtId="43" fontId="3" fillId="0" borderId="32" applyFont="0" applyFill="0" applyBorder="0" applyAlignment="0" applyProtection="0"/>
    <xf numFmtId="43" fontId="3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60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60" fillId="0" borderId="32" applyFont="0" applyFill="0" applyBorder="0" applyAlignment="0" applyProtection="0"/>
    <xf numFmtId="43" fontId="60" fillId="0" borderId="32" applyFont="0" applyFill="0" applyBorder="0" applyAlignment="0" applyProtection="0"/>
    <xf numFmtId="44" fontId="84" fillId="0" borderId="0" applyFont="0" applyFill="0" applyBorder="0" applyAlignment="0" applyProtection="0"/>
    <xf numFmtId="0" fontId="2" fillId="0" borderId="32"/>
    <xf numFmtId="169" fontId="60" fillId="71" borderId="32" applyNumberFormat="0" applyBorder="0" applyAlignment="0" applyProtection="0"/>
    <xf numFmtId="0" fontId="60" fillId="71" borderId="32" applyNumberFormat="0" applyBorder="0" applyAlignment="0" applyProtection="0"/>
    <xf numFmtId="169" fontId="60" fillId="72" borderId="32" applyNumberFormat="0" applyBorder="0" applyAlignment="0" applyProtection="0"/>
    <xf numFmtId="0" fontId="60" fillId="72" borderId="32" applyNumberFormat="0" applyBorder="0" applyAlignment="0" applyProtection="0"/>
    <xf numFmtId="169" fontId="60" fillId="66" borderId="32" applyNumberFormat="0" applyBorder="0" applyAlignment="0" applyProtection="0"/>
    <xf numFmtId="0" fontId="60" fillId="66" borderId="32" applyNumberFormat="0" applyBorder="0" applyAlignment="0" applyProtection="0"/>
    <xf numFmtId="169" fontId="60" fillId="73" borderId="32" applyNumberFormat="0" applyBorder="0" applyAlignment="0" applyProtection="0"/>
    <xf numFmtId="0" fontId="60" fillId="73" borderId="32" applyNumberFormat="0" applyBorder="0" applyAlignment="0" applyProtection="0"/>
    <xf numFmtId="169" fontId="60" fillId="74" borderId="32" applyNumberFormat="0" applyBorder="0" applyAlignment="0" applyProtection="0"/>
    <xf numFmtId="0" fontId="60" fillId="74" borderId="32" applyNumberFormat="0" applyBorder="0" applyAlignment="0" applyProtection="0"/>
    <xf numFmtId="169" fontId="60" fillId="75" borderId="32" applyNumberFormat="0" applyBorder="0" applyAlignment="0" applyProtection="0"/>
    <xf numFmtId="0" fontId="60" fillId="75" borderId="32" applyNumberFormat="0" applyBorder="0" applyAlignment="0" applyProtection="0"/>
    <xf numFmtId="0" fontId="60" fillId="76" borderId="32" applyNumberFormat="0" applyBorder="0" applyAlignment="0" applyProtection="0"/>
    <xf numFmtId="169" fontId="25" fillId="71" borderId="32" applyNumberFormat="0" applyBorder="0" applyAlignment="0" applyProtection="0"/>
    <xf numFmtId="0" fontId="25" fillId="71" borderId="32" applyNumberFormat="0" applyBorder="0" applyAlignment="0" applyProtection="0"/>
    <xf numFmtId="169" fontId="2" fillId="77" borderId="32" applyNumberFormat="0" applyBorder="0" applyAlignment="0" applyProtection="0"/>
    <xf numFmtId="0" fontId="2" fillId="77" borderId="32" applyNumberFormat="0" applyBorder="0" applyAlignment="0" applyProtection="0"/>
    <xf numFmtId="0" fontId="2" fillId="77" borderId="32" applyNumberFormat="0" applyBorder="0" applyAlignment="0" applyProtection="0"/>
    <xf numFmtId="169" fontId="2" fillId="77" borderId="32" applyNumberFormat="0" applyBorder="0" applyAlignment="0" applyProtection="0"/>
    <xf numFmtId="0" fontId="2" fillId="77" borderId="32" applyNumberFormat="0" applyBorder="0" applyAlignment="0" applyProtection="0"/>
    <xf numFmtId="0" fontId="2" fillId="77" borderId="32" applyNumberFormat="0" applyBorder="0" applyAlignment="0" applyProtection="0"/>
    <xf numFmtId="0" fontId="25" fillId="71" borderId="32" applyNumberFormat="0" applyBorder="0" applyAlignment="0" applyProtection="0"/>
    <xf numFmtId="169" fontId="2" fillId="71" borderId="32" applyNumberFormat="0" applyBorder="0" applyAlignment="0" applyProtection="0"/>
    <xf numFmtId="0" fontId="2" fillId="71" borderId="32" applyNumberFormat="0" applyBorder="0" applyAlignment="0" applyProtection="0"/>
    <xf numFmtId="0" fontId="2" fillId="71" borderId="32" applyNumberFormat="0" applyBorder="0" applyAlignment="0" applyProtection="0"/>
    <xf numFmtId="169" fontId="2" fillId="71" borderId="32" applyNumberFormat="0" applyBorder="0" applyAlignment="0" applyProtection="0"/>
    <xf numFmtId="0" fontId="2" fillId="71" borderId="32" applyNumberFormat="0" applyBorder="0" applyAlignment="0" applyProtection="0"/>
    <xf numFmtId="0" fontId="2" fillId="71" borderId="32" applyNumberFormat="0" applyBorder="0" applyAlignment="0" applyProtection="0"/>
    <xf numFmtId="169" fontId="60" fillId="76" borderId="32" applyNumberFormat="0" applyBorder="0" applyAlignment="0" applyProtection="0"/>
    <xf numFmtId="0" fontId="60" fillId="76" borderId="32" applyNumberFormat="0" applyBorder="0" applyAlignment="0" applyProtection="0"/>
    <xf numFmtId="169" fontId="2" fillId="77" borderId="32" applyNumberFormat="0" applyBorder="0" applyAlignment="0" applyProtection="0"/>
    <xf numFmtId="0" fontId="2" fillId="77" borderId="32" applyNumberFormat="0" applyBorder="0" applyAlignment="0" applyProtection="0"/>
    <xf numFmtId="0" fontId="2" fillId="77" borderId="32" applyNumberFormat="0" applyBorder="0" applyAlignment="0" applyProtection="0"/>
    <xf numFmtId="169" fontId="2" fillId="77" borderId="32" applyNumberFormat="0" applyBorder="0" applyAlignment="0" applyProtection="0"/>
    <xf numFmtId="0" fontId="2" fillId="77" borderId="32" applyNumberFormat="0" applyBorder="0" applyAlignment="0" applyProtection="0"/>
    <xf numFmtId="0" fontId="2" fillId="77" borderId="32" applyNumberFormat="0" applyBorder="0" applyAlignment="0" applyProtection="0"/>
    <xf numFmtId="169" fontId="25" fillId="71" borderId="32" applyNumberFormat="0" applyBorder="0" applyAlignment="0" applyProtection="0"/>
    <xf numFmtId="0" fontId="2" fillId="77" borderId="32" applyNumberFormat="0" applyBorder="0" applyAlignment="0" applyProtection="0"/>
    <xf numFmtId="0" fontId="2" fillId="77" borderId="32" applyNumberFormat="0" applyBorder="0" applyAlignment="0" applyProtection="0"/>
    <xf numFmtId="0" fontId="60" fillId="76" borderId="32" applyNumberFormat="0" applyBorder="0" applyAlignment="0" applyProtection="0"/>
    <xf numFmtId="0" fontId="60" fillId="78" borderId="32" applyNumberFormat="0" applyBorder="0" applyAlignment="0" applyProtection="0"/>
    <xf numFmtId="169" fontId="25" fillId="72" borderId="32" applyNumberFormat="0" applyBorder="0" applyAlignment="0" applyProtection="0"/>
    <xf numFmtId="0" fontId="25" fillId="72" borderId="32" applyNumberFormat="0" applyBorder="0" applyAlignment="0" applyProtection="0"/>
    <xf numFmtId="169" fontId="2" fillId="79" borderId="32" applyNumberFormat="0" applyBorder="0" applyAlignment="0" applyProtection="0"/>
    <xf numFmtId="0" fontId="2" fillId="79" borderId="32" applyNumberFormat="0" applyBorder="0" applyAlignment="0" applyProtection="0"/>
    <xf numFmtId="0" fontId="2" fillId="79" borderId="32" applyNumberFormat="0" applyBorder="0" applyAlignment="0" applyProtection="0"/>
    <xf numFmtId="169" fontId="2" fillId="79" borderId="32" applyNumberFormat="0" applyBorder="0" applyAlignment="0" applyProtection="0"/>
    <xf numFmtId="0" fontId="2" fillId="79" borderId="32" applyNumberFormat="0" applyBorder="0" applyAlignment="0" applyProtection="0"/>
    <xf numFmtId="0" fontId="2" fillId="79" borderId="32" applyNumberFormat="0" applyBorder="0" applyAlignment="0" applyProtection="0"/>
    <xf numFmtId="0" fontId="25" fillId="72" borderId="32" applyNumberFormat="0" applyBorder="0" applyAlignment="0" applyProtection="0"/>
    <xf numFmtId="169" fontId="2" fillId="72" borderId="32" applyNumberFormat="0" applyBorder="0" applyAlignment="0" applyProtection="0"/>
    <xf numFmtId="0" fontId="2" fillId="72" borderId="32" applyNumberFormat="0" applyBorder="0" applyAlignment="0" applyProtection="0"/>
    <xf numFmtId="0" fontId="2" fillId="72" borderId="32" applyNumberFormat="0" applyBorder="0" applyAlignment="0" applyProtection="0"/>
    <xf numFmtId="169" fontId="2" fillId="72" borderId="32" applyNumberFormat="0" applyBorder="0" applyAlignment="0" applyProtection="0"/>
    <xf numFmtId="0" fontId="2" fillId="72" borderId="32" applyNumberFormat="0" applyBorder="0" applyAlignment="0" applyProtection="0"/>
    <xf numFmtId="0" fontId="2" fillId="72" borderId="32" applyNumberFormat="0" applyBorder="0" applyAlignment="0" applyProtection="0"/>
    <xf numFmtId="169" fontId="60" fillId="78" borderId="32" applyNumberFormat="0" applyBorder="0" applyAlignment="0" applyProtection="0"/>
    <xf numFmtId="0" fontId="60" fillId="78" borderId="32" applyNumberFormat="0" applyBorder="0" applyAlignment="0" applyProtection="0"/>
    <xf numFmtId="169" fontId="2" fillId="79" borderId="32" applyNumberFormat="0" applyBorder="0" applyAlignment="0" applyProtection="0"/>
    <xf numFmtId="0" fontId="2" fillId="79" borderId="32" applyNumberFormat="0" applyBorder="0" applyAlignment="0" applyProtection="0"/>
    <xf numFmtId="0" fontId="2" fillId="79" borderId="32" applyNumberFormat="0" applyBorder="0" applyAlignment="0" applyProtection="0"/>
    <xf numFmtId="169" fontId="2" fillId="79" borderId="32" applyNumberFormat="0" applyBorder="0" applyAlignment="0" applyProtection="0"/>
    <xf numFmtId="0" fontId="2" fillId="79" borderId="32" applyNumberFormat="0" applyBorder="0" applyAlignment="0" applyProtection="0"/>
    <xf numFmtId="0" fontId="2" fillId="79" borderId="32" applyNumberFormat="0" applyBorder="0" applyAlignment="0" applyProtection="0"/>
    <xf numFmtId="169" fontId="25" fillId="72" borderId="32" applyNumberFormat="0" applyBorder="0" applyAlignment="0" applyProtection="0"/>
    <xf numFmtId="0" fontId="2" fillId="79" borderId="32" applyNumberFormat="0" applyBorder="0" applyAlignment="0" applyProtection="0"/>
    <xf numFmtId="0" fontId="2" fillId="79" borderId="32" applyNumberFormat="0" applyBorder="0" applyAlignment="0" applyProtection="0"/>
    <xf numFmtId="0" fontId="60" fillId="78" borderId="32" applyNumberFormat="0" applyBorder="0" applyAlignment="0" applyProtection="0"/>
    <xf numFmtId="0" fontId="60" fillId="80" borderId="32" applyNumberFormat="0" applyBorder="0" applyAlignment="0" applyProtection="0"/>
    <xf numFmtId="169" fontId="25" fillId="66" borderId="32" applyNumberFormat="0" applyBorder="0" applyAlignment="0" applyProtection="0"/>
    <xf numFmtId="0" fontId="25" fillId="66" borderId="32" applyNumberFormat="0" applyBorder="0" applyAlignment="0" applyProtection="0"/>
    <xf numFmtId="169" fontId="2" fillId="81" borderId="32" applyNumberFormat="0" applyBorder="0" applyAlignment="0" applyProtection="0"/>
    <xf numFmtId="0" fontId="2" fillId="81" borderId="32" applyNumberFormat="0" applyBorder="0" applyAlignment="0" applyProtection="0"/>
    <xf numFmtId="0" fontId="2" fillId="81" borderId="32" applyNumberFormat="0" applyBorder="0" applyAlignment="0" applyProtection="0"/>
    <xf numFmtId="169" fontId="2" fillId="81" borderId="32" applyNumberFormat="0" applyBorder="0" applyAlignment="0" applyProtection="0"/>
    <xf numFmtId="0" fontId="2" fillId="81" borderId="32" applyNumberFormat="0" applyBorder="0" applyAlignment="0" applyProtection="0"/>
    <xf numFmtId="0" fontId="2" fillId="81" borderId="32" applyNumberFormat="0" applyBorder="0" applyAlignment="0" applyProtection="0"/>
    <xf numFmtId="0" fontId="25" fillId="66" borderId="32" applyNumberFormat="0" applyBorder="0" applyAlignment="0" applyProtection="0"/>
    <xf numFmtId="169" fontId="2" fillId="66" borderId="32" applyNumberFormat="0" applyBorder="0" applyAlignment="0" applyProtection="0"/>
    <xf numFmtId="0" fontId="2" fillId="66" borderId="32" applyNumberFormat="0" applyBorder="0" applyAlignment="0" applyProtection="0"/>
    <xf numFmtId="0" fontId="2" fillId="66" borderId="32" applyNumberFormat="0" applyBorder="0" applyAlignment="0" applyProtection="0"/>
    <xf numFmtId="169" fontId="2" fillId="66" borderId="32" applyNumberFormat="0" applyBorder="0" applyAlignment="0" applyProtection="0"/>
    <xf numFmtId="0" fontId="2" fillId="66" borderId="32" applyNumberFormat="0" applyBorder="0" applyAlignment="0" applyProtection="0"/>
    <xf numFmtId="0" fontId="2" fillId="66" borderId="32" applyNumberFormat="0" applyBorder="0" applyAlignment="0" applyProtection="0"/>
    <xf numFmtId="169" fontId="60" fillId="80" borderId="32" applyNumberFormat="0" applyBorder="0" applyAlignment="0" applyProtection="0"/>
    <xf numFmtId="0" fontId="60" fillId="80" borderId="32" applyNumberFormat="0" applyBorder="0" applyAlignment="0" applyProtection="0"/>
    <xf numFmtId="169" fontId="2" fillId="81" borderId="32" applyNumberFormat="0" applyBorder="0" applyAlignment="0" applyProtection="0"/>
    <xf numFmtId="0" fontId="2" fillId="81" borderId="32" applyNumberFormat="0" applyBorder="0" applyAlignment="0" applyProtection="0"/>
    <xf numFmtId="0" fontId="2" fillId="81" borderId="32" applyNumberFormat="0" applyBorder="0" applyAlignment="0" applyProtection="0"/>
    <xf numFmtId="169" fontId="2" fillId="81" borderId="32" applyNumberFormat="0" applyBorder="0" applyAlignment="0" applyProtection="0"/>
    <xf numFmtId="0" fontId="2" fillId="81" borderId="32" applyNumberFormat="0" applyBorder="0" applyAlignment="0" applyProtection="0"/>
    <xf numFmtId="0" fontId="2" fillId="81" borderId="32" applyNumberFormat="0" applyBorder="0" applyAlignment="0" applyProtection="0"/>
    <xf numFmtId="169" fontId="25" fillId="66" borderId="32" applyNumberFormat="0" applyBorder="0" applyAlignment="0" applyProtection="0"/>
    <xf numFmtId="0" fontId="2" fillId="81" borderId="32" applyNumberFormat="0" applyBorder="0" applyAlignment="0" applyProtection="0"/>
    <xf numFmtId="0" fontId="2" fillId="81" borderId="32" applyNumberFormat="0" applyBorder="0" applyAlignment="0" applyProtection="0"/>
    <xf numFmtId="0" fontId="60" fillId="80" borderId="32" applyNumberFormat="0" applyBorder="0" applyAlignment="0" applyProtection="0"/>
    <xf numFmtId="0" fontId="60" fillId="75" borderId="32" applyNumberFormat="0" applyBorder="0" applyAlignment="0" applyProtection="0"/>
    <xf numFmtId="169" fontId="25" fillId="73" borderId="32" applyNumberFormat="0" applyBorder="0" applyAlignment="0" applyProtection="0"/>
    <xf numFmtId="0" fontId="25" fillId="73" borderId="32" applyNumberFormat="0" applyBorder="0" applyAlignment="0" applyProtection="0"/>
    <xf numFmtId="169" fontId="2" fillId="82" borderId="32" applyNumberFormat="0" applyBorder="0" applyAlignment="0" applyProtection="0"/>
    <xf numFmtId="0" fontId="2" fillId="82" borderId="32" applyNumberFormat="0" applyBorder="0" applyAlignment="0" applyProtection="0"/>
    <xf numFmtId="0" fontId="2" fillId="82" borderId="32" applyNumberFormat="0" applyBorder="0" applyAlignment="0" applyProtection="0"/>
    <xf numFmtId="169" fontId="2" fillId="82" borderId="32" applyNumberFormat="0" applyBorder="0" applyAlignment="0" applyProtection="0"/>
    <xf numFmtId="0" fontId="2" fillId="82" borderId="32" applyNumberFormat="0" applyBorder="0" applyAlignment="0" applyProtection="0"/>
    <xf numFmtId="0" fontId="2" fillId="82" borderId="32" applyNumberFormat="0" applyBorder="0" applyAlignment="0" applyProtection="0"/>
    <xf numFmtId="0" fontId="25" fillId="73" borderId="32" applyNumberFormat="0" applyBorder="0" applyAlignment="0" applyProtection="0"/>
    <xf numFmtId="169" fontId="2" fillId="73" borderId="32" applyNumberFormat="0" applyBorder="0" applyAlignment="0" applyProtection="0"/>
    <xf numFmtId="0" fontId="2" fillId="73" borderId="32" applyNumberFormat="0" applyBorder="0" applyAlignment="0" applyProtection="0"/>
    <xf numFmtId="0" fontId="2" fillId="73" borderId="32" applyNumberFormat="0" applyBorder="0" applyAlignment="0" applyProtection="0"/>
    <xf numFmtId="169" fontId="2" fillId="73" borderId="32" applyNumberFormat="0" applyBorder="0" applyAlignment="0" applyProtection="0"/>
    <xf numFmtId="0" fontId="2" fillId="73" borderId="32" applyNumberFormat="0" applyBorder="0" applyAlignment="0" applyProtection="0"/>
    <xf numFmtId="0" fontId="2" fillId="73" borderId="32" applyNumberFormat="0" applyBorder="0" applyAlignment="0" applyProtection="0"/>
    <xf numFmtId="169" fontId="60" fillId="75" borderId="32" applyNumberFormat="0" applyBorder="0" applyAlignment="0" applyProtection="0"/>
    <xf numFmtId="0" fontId="60" fillId="75" borderId="32" applyNumberFormat="0" applyBorder="0" applyAlignment="0" applyProtection="0"/>
    <xf numFmtId="169" fontId="2" fillId="82" borderId="32" applyNumberFormat="0" applyBorder="0" applyAlignment="0" applyProtection="0"/>
    <xf numFmtId="0" fontId="2" fillId="82" borderId="32" applyNumberFormat="0" applyBorder="0" applyAlignment="0" applyProtection="0"/>
    <xf numFmtId="0" fontId="2" fillId="82" borderId="32" applyNumberFormat="0" applyBorder="0" applyAlignment="0" applyProtection="0"/>
    <xf numFmtId="169" fontId="2" fillId="82" borderId="32" applyNumberFormat="0" applyBorder="0" applyAlignment="0" applyProtection="0"/>
    <xf numFmtId="0" fontId="2" fillId="82" borderId="32" applyNumberFormat="0" applyBorder="0" applyAlignment="0" applyProtection="0"/>
    <xf numFmtId="0" fontId="2" fillId="82" borderId="32" applyNumberFormat="0" applyBorder="0" applyAlignment="0" applyProtection="0"/>
    <xf numFmtId="169" fontId="25" fillId="73" borderId="32" applyNumberFormat="0" applyBorder="0" applyAlignment="0" applyProtection="0"/>
    <xf numFmtId="0" fontId="2" fillId="82" borderId="32" applyNumberFormat="0" applyBorder="0" applyAlignment="0" applyProtection="0"/>
    <xf numFmtId="0" fontId="2" fillId="82" borderId="32" applyNumberFormat="0" applyBorder="0" applyAlignment="0" applyProtection="0"/>
    <xf numFmtId="0" fontId="60" fillId="75" borderId="32" applyNumberFormat="0" applyBorder="0" applyAlignment="0" applyProtection="0"/>
    <xf numFmtId="0" fontId="60" fillId="74" borderId="32" applyNumberFormat="0" applyBorder="0" applyAlignment="0" applyProtection="0"/>
    <xf numFmtId="169" fontId="25" fillId="74" borderId="32" applyNumberFormat="0" applyBorder="0" applyAlignment="0" applyProtection="0"/>
    <xf numFmtId="0" fontId="25" fillId="74" borderId="32" applyNumberFormat="0" applyBorder="0" applyAlignment="0" applyProtection="0"/>
    <xf numFmtId="169" fontId="2" fillId="83" borderId="32" applyNumberFormat="0" applyBorder="0" applyAlignment="0" applyProtection="0"/>
    <xf numFmtId="0" fontId="2" fillId="83" borderId="32" applyNumberFormat="0" applyBorder="0" applyAlignment="0" applyProtection="0"/>
    <xf numFmtId="0" fontId="2" fillId="83" borderId="32" applyNumberFormat="0" applyBorder="0" applyAlignment="0" applyProtection="0"/>
    <xf numFmtId="169" fontId="2" fillId="83" borderId="32" applyNumberFormat="0" applyBorder="0" applyAlignment="0" applyProtection="0"/>
    <xf numFmtId="0" fontId="2" fillId="83" borderId="32" applyNumberFormat="0" applyBorder="0" applyAlignment="0" applyProtection="0"/>
    <xf numFmtId="0" fontId="2" fillId="83" borderId="32" applyNumberFormat="0" applyBorder="0" applyAlignment="0" applyProtection="0"/>
    <xf numFmtId="0" fontId="25" fillId="74" borderId="32" applyNumberFormat="0" applyBorder="0" applyAlignment="0" applyProtection="0"/>
    <xf numFmtId="169" fontId="60" fillId="74" borderId="32" applyNumberFormat="0" applyBorder="0" applyAlignment="0" applyProtection="0"/>
    <xf numFmtId="169" fontId="2" fillId="83" borderId="32" applyNumberFormat="0" applyBorder="0" applyAlignment="0" applyProtection="0"/>
    <xf numFmtId="0" fontId="2" fillId="83" borderId="32" applyNumberFormat="0" applyBorder="0" applyAlignment="0" applyProtection="0"/>
    <xf numFmtId="0" fontId="2" fillId="83" borderId="32" applyNumberFormat="0" applyBorder="0" applyAlignment="0" applyProtection="0"/>
    <xf numFmtId="169" fontId="2" fillId="83" borderId="32" applyNumberFormat="0" applyBorder="0" applyAlignment="0" applyProtection="0"/>
    <xf numFmtId="0" fontId="2" fillId="83" borderId="32" applyNumberFormat="0" applyBorder="0" applyAlignment="0" applyProtection="0"/>
    <xf numFmtId="0" fontId="2" fillId="83" borderId="32" applyNumberFormat="0" applyBorder="0" applyAlignment="0" applyProtection="0"/>
    <xf numFmtId="169" fontId="25" fillId="74" borderId="32" applyNumberFormat="0" applyBorder="0" applyAlignment="0" applyProtection="0"/>
    <xf numFmtId="0" fontId="2" fillId="83" borderId="32" applyNumberFormat="0" applyBorder="0" applyAlignment="0" applyProtection="0"/>
    <xf numFmtId="0" fontId="2" fillId="83" borderId="32" applyNumberFormat="0" applyBorder="0" applyAlignment="0" applyProtection="0"/>
    <xf numFmtId="0" fontId="60" fillId="74" borderId="32" applyNumberFormat="0" applyBorder="0" applyAlignment="0" applyProtection="0"/>
    <xf numFmtId="0" fontId="60" fillId="74" borderId="32" applyNumberFormat="0" applyBorder="0" applyAlignment="0" applyProtection="0"/>
    <xf numFmtId="0" fontId="60" fillId="80" borderId="32" applyNumberFormat="0" applyBorder="0" applyAlignment="0" applyProtection="0"/>
    <xf numFmtId="169" fontId="25" fillId="75" borderId="32" applyNumberFormat="0" applyBorder="0" applyAlignment="0" applyProtection="0"/>
    <xf numFmtId="0" fontId="25" fillId="75" borderId="32" applyNumberFormat="0" applyBorder="0" applyAlignment="0" applyProtection="0"/>
    <xf numFmtId="169" fontId="2" fillId="84" borderId="32" applyNumberFormat="0" applyBorder="0" applyAlignment="0" applyProtection="0"/>
    <xf numFmtId="0" fontId="2" fillId="84" borderId="32" applyNumberFormat="0" applyBorder="0" applyAlignment="0" applyProtection="0"/>
    <xf numFmtId="0" fontId="2" fillId="84" borderId="32" applyNumberFormat="0" applyBorder="0" applyAlignment="0" applyProtection="0"/>
    <xf numFmtId="169" fontId="2" fillId="84" borderId="32" applyNumberFormat="0" applyBorder="0" applyAlignment="0" applyProtection="0"/>
    <xf numFmtId="0" fontId="2" fillId="84" borderId="32" applyNumberFormat="0" applyBorder="0" applyAlignment="0" applyProtection="0"/>
    <xf numFmtId="0" fontId="2" fillId="84" borderId="32" applyNumberFormat="0" applyBorder="0" applyAlignment="0" applyProtection="0"/>
    <xf numFmtId="0" fontId="25" fillId="75" borderId="32" applyNumberFormat="0" applyBorder="0" applyAlignment="0" applyProtection="0"/>
    <xf numFmtId="169" fontId="60" fillId="80" borderId="32" applyNumberFormat="0" applyBorder="0" applyAlignment="0" applyProtection="0"/>
    <xf numFmtId="169" fontId="2" fillId="84" borderId="32" applyNumberFormat="0" applyBorder="0" applyAlignment="0" applyProtection="0"/>
    <xf numFmtId="0" fontId="2" fillId="84" borderId="32" applyNumberFormat="0" applyBorder="0" applyAlignment="0" applyProtection="0"/>
    <xf numFmtId="0" fontId="2" fillId="84" borderId="32" applyNumberFormat="0" applyBorder="0" applyAlignment="0" applyProtection="0"/>
    <xf numFmtId="169" fontId="2" fillId="84" borderId="32" applyNumberFormat="0" applyBorder="0" applyAlignment="0" applyProtection="0"/>
    <xf numFmtId="0" fontId="2" fillId="84" borderId="32" applyNumberFormat="0" applyBorder="0" applyAlignment="0" applyProtection="0"/>
    <xf numFmtId="0" fontId="2" fillId="84" borderId="32" applyNumberFormat="0" applyBorder="0" applyAlignment="0" applyProtection="0"/>
    <xf numFmtId="169" fontId="25" fillId="75" borderId="32" applyNumberFormat="0" applyBorder="0" applyAlignment="0" applyProtection="0"/>
    <xf numFmtId="0" fontId="2" fillId="84" borderId="32" applyNumberFormat="0" applyBorder="0" applyAlignment="0" applyProtection="0"/>
    <xf numFmtId="0" fontId="2" fillId="84" borderId="32" applyNumberFormat="0" applyBorder="0" applyAlignment="0" applyProtection="0"/>
    <xf numFmtId="0" fontId="60" fillId="80" borderId="32" applyNumberFormat="0" applyBorder="0" applyAlignment="0" applyProtection="0"/>
    <xf numFmtId="0" fontId="60" fillId="80" borderId="32" applyNumberFormat="0" applyBorder="0" applyAlignment="0" applyProtection="0"/>
    <xf numFmtId="169" fontId="60" fillId="76" borderId="32" applyNumberFormat="0" applyBorder="0" applyAlignment="0" applyProtection="0"/>
    <xf numFmtId="0" fontId="60" fillId="76" borderId="32" applyNumberFormat="0" applyBorder="0" applyAlignment="0" applyProtection="0"/>
    <xf numFmtId="169" fontId="60" fillId="78" borderId="32" applyNumberFormat="0" applyBorder="0" applyAlignment="0" applyProtection="0"/>
    <xf numFmtId="0" fontId="60" fillId="78" borderId="32" applyNumberFormat="0" applyBorder="0" applyAlignment="0" applyProtection="0"/>
    <xf numFmtId="169" fontId="60" fillId="85" borderId="32" applyNumberFormat="0" applyBorder="0" applyAlignment="0" applyProtection="0"/>
    <xf numFmtId="0" fontId="60" fillId="85" borderId="32" applyNumberFormat="0" applyBorder="0" applyAlignment="0" applyProtection="0"/>
    <xf numFmtId="169" fontId="60" fillId="73" borderId="32" applyNumberFormat="0" applyBorder="0" applyAlignment="0" applyProtection="0"/>
    <xf numFmtId="0" fontId="60" fillId="73" borderId="32" applyNumberFormat="0" applyBorder="0" applyAlignment="0" applyProtection="0"/>
    <xf numFmtId="169" fontId="60" fillId="76" borderId="32" applyNumberFormat="0" applyBorder="0" applyAlignment="0" applyProtection="0"/>
    <xf numFmtId="0" fontId="60" fillId="76" borderId="32" applyNumberFormat="0" applyBorder="0" applyAlignment="0" applyProtection="0"/>
    <xf numFmtId="169" fontId="60" fillId="86" borderId="32" applyNumberFormat="0" applyBorder="0" applyAlignment="0" applyProtection="0"/>
    <xf numFmtId="0" fontId="60" fillId="86" borderId="32" applyNumberFormat="0" applyBorder="0" applyAlignment="0" applyProtection="0"/>
    <xf numFmtId="0" fontId="60" fillId="74" borderId="32" applyNumberFormat="0" applyBorder="0" applyAlignment="0" applyProtection="0"/>
    <xf numFmtId="169" fontId="25" fillId="76" borderId="32" applyNumberFormat="0" applyBorder="0" applyAlignment="0" applyProtection="0"/>
    <xf numFmtId="0" fontId="25" fillId="76" borderId="32" applyNumberFormat="0" applyBorder="0" applyAlignment="0" applyProtection="0"/>
    <xf numFmtId="169" fontId="2" fillId="87" borderId="32" applyNumberFormat="0" applyBorder="0" applyAlignment="0" applyProtection="0"/>
    <xf numFmtId="0" fontId="2" fillId="87" borderId="32" applyNumberFormat="0" applyBorder="0" applyAlignment="0" applyProtection="0"/>
    <xf numFmtId="0" fontId="2" fillId="87" borderId="32" applyNumberFormat="0" applyBorder="0" applyAlignment="0" applyProtection="0"/>
    <xf numFmtId="169" fontId="2" fillId="87" borderId="32" applyNumberFormat="0" applyBorder="0" applyAlignment="0" applyProtection="0"/>
    <xf numFmtId="0" fontId="2" fillId="87" borderId="32" applyNumberFormat="0" applyBorder="0" applyAlignment="0" applyProtection="0"/>
    <xf numFmtId="0" fontId="2" fillId="87" borderId="32" applyNumberFormat="0" applyBorder="0" applyAlignment="0" applyProtection="0"/>
    <xf numFmtId="0" fontId="25" fillId="76" borderId="32" applyNumberFormat="0" applyBorder="0" applyAlignment="0" applyProtection="0"/>
    <xf numFmtId="169" fontId="60" fillId="74" borderId="32" applyNumberFormat="0" applyBorder="0" applyAlignment="0" applyProtection="0"/>
    <xf numFmtId="169" fontId="2" fillId="87" borderId="32" applyNumberFormat="0" applyBorder="0" applyAlignment="0" applyProtection="0"/>
    <xf numFmtId="0" fontId="2" fillId="87" borderId="32" applyNumberFormat="0" applyBorder="0" applyAlignment="0" applyProtection="0"/>
    <xf numFmtId="0" fontId="2" fillId="87" borderId="32" applyNumberFormat="0" applyBorder="0" applyAlignment="0" applyProtection="0"/>
    <xf numFmtId="169" fontId="2" fillId="87" borderId="32" applyNumberFormat="0" applyBorder="0" applyAlignment="0" applyProtection="0"/>
    <xf numFmtId="0" fontId="2" fillId="87" borderId="32" applyNumberFormat="0" applyBorder="0" applyAlignment="0" applyProtection="0"/>
    <xf numFmtId="0" fontId="2" fillId="87" borderId="32" applyNumberFormat="0" applyBorder="0" applyAlignment="0" applyProtection="0"/>
    <xf numFmtId="169" fontId="25" fillId="76" borderId="32" applyNumberFormat="0" applyBorder="0" applyAlignment="0" applyProtection="0"/>
    <xf numFmtId="0" fontId="2" fillId="87" borderId="32" applyNumberFormat="0" applyBorder="0" applyAlignment="0" applyProtection="0"/>
    <xf numFmtId="0" fontId="2" fillId="87" borderId="32" applyNumberFormat="0" applyBorder="0" applyAlignment="0" applyProtection="0"/>
    <xf numFmtId="0" fontId="60" fillId="74" borderId="32" applyNumberFormat="0" applyBorder="0" applyAlignment="0" applyProtection="0"/>
    <xf numFmtId="0" fontId="60" fillId="74" borderId="32" applyNumberFormat="0" applyBorder="0" applyAlignment="0" applyProtection="0"/>
    <xf numFmtId="0" fontId="60" fillId="78" borderId="32" applyNumberFormat="0" applyBorder="0" applyAlignment="0" applyProtection="0"/>
    <xf numFmtId="169" fontId="25" fillId="78" borderId="32" applyNumberFormat="0" applyBorder="0" applyAlignment="0" applyProtection="0"/>
    <xf numFmtId="0" fontId="25" fillId="78" borderId="32" applyNumberFormat="0" applyBorder="0" applyAlignment="0" applyProtection="0"/>
    <xf numFmtId="169" fontId="2" fillId="88" borderId="32" applyNumberFormat="0" applyBorder="0" applyAlignment="0" applyProtection="0"/>
    <xf numFmtId="0" fontId="2" fillId="88" borderId="32" applyNumberFormat="0" applyBorder="0" applyAlignment="0" applyProtection="0"/>
    <xf numFmtId="0" fontId="2" fillId="88" borderId="32" applyNumberFormat="0" applyBorder="0" applyAlignment="0" applyProtection="0"/>
    <xf numFmtId="169" fontId="2" fillId="88" borderId="32" applyNumberFormat="0" applyBorder="0" applyAlignment="0" applyProtection="0"/>
    <xf numFmtId="0" fontId="2" fillId="88" borderId="32" applyNumberFormat="0" applyBorder="0" applyAlignment="0" applyProtection="0"/>
    <xf numFmtId="0" fontId="2" fillId="88" borderId="32" applyNumberFormat="0" applyBorder="0" applyAlignment="0" applyProtection="0"/>
    <xf numFmtId="0" fontId="25" fillId="78" borderId="32" applyNumberFormat="0" applyBorder="0" applyAlignment="0" applyProtection="0"/>
    <xf numFmtId="169" fontId="60" fillId="78" borderId="32" applyNumberFormat="0" applyBorder="0" applyAlignment="0" applyProtection="0"/>
    <xf numFmtId="169" fontId="2" fillId="88" borderId="32" applyNumberFormat="0" applyBorder="0" applyAlignment="0" applyProtection="0"/>
    <xf numFmtId="0" fontId="2" fillId="88" borderId="32" applyNumberFormat="0" applyBorder="0" applyAlignment="0" applyProtection="0"/>
    <xf numFmtId="0" fontId="2" fillId="88" borderId="32" applyNumberFormat="0" applyBorder="0" applyAlignment="0" applyProtection="0"/>
    <xf numFmtId="169" fontId="2" fillId="88" borderId="32" applyNumberFormat="0" applyBorder="0" applyAlignment="0" applyProtection="0"/>
    <xf numFmtId="0" fontId="2" fillId="88" borderId="32" applyNumberFormat="0" applyBorder="0" applyAlignment="0" applyProtection="0"/>
    <xf numFmtId="0" fontId="2" fillId="88" borderId="32" applyNumberFormat="0" applyBorder="0" applyAlignment="0" applyProtection="0"/>
    <xf numFmtId="169" fontId="25" fillId="78" borderId="32" applyNumberFormat="0" applyBorder="0" applyAlignment="0" applyProtection="0"/>
    <xf numFmtId="0" fontId="2" fillId="88" borderId="32" applyNumberFormat="0" applyBorder="0" applyAlignment="0" applyProtection="0"/>
    <xf numFmtId="0" fontId="2" fillId="88" borderId="32" applyNumberFormat="0" applyBorder="0" applyAlignment="0" applyProtection="0"/>
    <xf numFmtId="0" fontId="60" fillId="78" borderId="32" applyNumberFormat="0" applyBorder="0" applyAlignment="0" applyProtection="0"/>
    <xf numFmtId="0" fontId="60" fillId="78" borderId="32" applyNumberFormat="0" applyBorder="0" applyAlignment="0" applyProtection="0"/>
    <xf numFmtId="0" fontId="60" fillId="89" borderId="32" applyNumberFormat="0" applyBorder="0" applyAlignment="0" applyProtection="0"/>
    <xf numFmtId="169" fontId="25" fillId="85" borderId="32" applyNumberFormat="0" applyBorder="0" applyAlignment="0" applyProtection="0"/>
    <xf numFmtId="0" fontId="25" fillId="85" borderId="32" applyNumberFormat="0" applyBorder="0" applyAlignment="0" applyProtection="0"/>
    <xf numFmtId="169" fontId="2" fillId="90" borderId="32" applyNumberFormat="0" applyBorder="0" applyAlignment="0" applyProtection="0"/>
    <xf numFmtId="0" fontId="2" fillId="90" borderId="32" applyNumberFormat="0" applyBorder="0" applyAlignment="0" applyProtection="0"/>
    <xf numFmtId="0" fontId="2" fillId="90" borderId="32" applyNumberFormat="0" applyBorder="0" applyAlignment="0" applyProtection="0"/>
    <xf numFmtId="169" fontId="2" fillId="90" borderId="32" applyNumberFormat="0" applyBorder="0" applyAlignment="0" applyProtection="0"/>
    <xf numFmtId="0" fontId="2" fillId="90" borderId="32" applyNumberFormat="0" applyBorder="0" applyAlignment="0" applyProtection="0"/>
    <xf numFmtId="0" fontId="2" fillId="90" borderId="32" applyNumberFormat="0" applyBorder="0" applyAlignment="0" applyProtection="0"/>
    <xf numFmtId="0" fontId="25" fillId="85" borderId="32" applyNumberFormat="0" applyBorder="0" applyAlignment="0" applyProtection="0"/>
    <xf numFmtId="169" fontId="2" fillId="85" borderId="32" applyNumberFormat="0" applyBorder="0" applyAlignment="0" applyProtection="0"/>
    <xf numFmtId="0" fontId="2" fillId="85" borderId="32" applyNumberFormat="0" applyBorder="0" applyAlignment="0" applyProtection="0"/>
    <xf numFmtId="0" fontId="2" fillId="85" borderId="32" applyNumberFormat="0" applyBorder="0" applyAlignment="0" applyProtection="0"/>
    <xf numFmtId="169" fontId="2" fillId="85" borderId="32" applyNumberFormat="0" applyBorder="0" applyAlignment="0" applyProtection="0"/>
    <xf numFmtId="0" fontId="2" fillId="85" borderId="32" applyNumberFormat="0" applyBorder="0" applyAlignment="0" applyProtection="0"/>
    <xf numFmtId="0" fontId="2" fillId="85" borderId="32" applyNumberFormat="0" applyBorder="0" applyAlignment="0" applyProtection="0"/>
    <xf numFmtId="169" fontId="60" fillId="89" borderId="32" applyNumberFormat="0" applyBorder="0" applyAlignment="0" applyProtection="0"/>
    <xf numFmtId="0" fontId="60" fillId="89" borderId="32" applyNumberFormat="0" applyBorder="0" applyAlignment="0" applyProtection="0"/>
    <xf numFmtId="169" fontId="2" fillId="90" borderId="32" applyNumberFormat="0" applyBorder="0" applyAlignment="0" applyProtection="0"/>
    <xf numFmtId="0" fontId="2" fillId="90" borderId="32" applyNumberFormat="0" applyBorder="0" applyAlignment="0" applyProtection="0"/>
    <xf numFmtId="0" fontId="2" fillId="90" borderId="32" applyNumberFormat="0" applyBorder="0" applyAlignment="0" applyProtection="0"/>
    <xf numFmtId="169" fontId="2" fillId="90" borderId="32" applyNumberFormat="0" applyBorder="0" applyAlignment="0" applyProtection="0"/>
    <xf numFmtId="0" fontId="2" fillId="90" borderId="32" applyNumberFormat="0" applyBorder="0" applyAlignment="0" applyProtection="0"/>
    <xf numFmtId="0" fontId="2" fillId="90" borderId="32" applyNumberFormat="0" applyBorder="0" applyAlignment="0" applyProtection="0"/>
    <xf numFmtId="169" fontId="25" fillId="85" borderId="32" applyNumberFormat="0" applyBorder="0" applyAlignment="0" applyProtection="0"/>
    <xf numFmtId="0" fontId="2" fillId="90" borderId="32" applyNumberFormat="0" applyBorder="0" applyAlignment="0" applyProtection="0"/>
    <xf numFmtId="0" fontId="2" fillId="90" borderId="32" applyNumberFormat="0" applyBorder="0" applyAlignment="0" applyProtection="0"/>
    <xf numFmtId="0" fontId="60" fillId="89" borderId="32" applyNumberFormat="0" applyBorder="0" applyAlignment="0" applyProtection="0"/>
    <xf numFmtId="0" fontId="60" fillId="72" borderId="32" applyNumberFormat="0" applyBorder="0" applyAlignment="0" applyProtection="0"/>
    <xf numFmtId="169" fontId="25" fillId="73" borderId="32" applyNumberFormat="0" applyBorder="0" applyAlignment="0" applyProtection="0"/>
    <xf numFmtId="0" fontId="25" fillId="73" borderId="32" applyNumberFormat="0" applyBorder="0" applyAlignment="0" applyProtection="0"/>
    <xf numFmtId="169" fontId="2" fillId="91" borderId="32" applyNumberFormat="0" applyBorder="0" applyAlignment="0" applyProtection="0"/>
    <xf numFmtId="0" fontId="2" fillId="91" borderId="32" applyNumberFormat="0" applyBorder="0" applyAlignment="0" applyProtection="0"/>
    <xf numFmtId="0" fontId="2" fillId="91" borderId="32" applyNumberFormat="0" applyBorder="0" applyAlignment="0" applyProtection="0"/>
    <xf numFmtId="169" fontId="2" fillId="91" borderId="32" applyNumberFormat="0" applyBorder="0" applyAlignment="0" applyProtection="0"/>
    <xf numFmtId="0" fontId="2" fillId="91" borderId="32" applyNumberFormat="0" applyBorder="0" applyAlignment="0" applyProtection="0"/>
    <xf numFmtId="0" fontId="2" fillId="91" borderId="32" applyNumberFormat="0" applyBorder="0" applyAlignment="0" applyProtection="0"/>
    <xf numFmtId="0" fontId="25" fillId="73" borderId="32" applyNumberFormat="0" applyBorder="0" applyAlignment="0" applyProtection="0"/>
    <xf numFmtId="169" fontId="60" fillId="72" borderId="32" applyNumberFormat="0" applyBorder="0" applyAlignment="0" applyProtection="0"/>
    <xf numFmtId="169" fontId="2" fillId="91" borderId="32" applyNumberFormat="0" applyBorder="0" applyAlignment="0" applyProtection="0"/>
    <xf numFmtId="0" fontId="2" fillId="91" borderId="32" applyNumberFormat="0" applyBorder="0" applyAlignment="0" applyProtection="0"/>
    <xf numFmtId="0" fontId="2" fillId="91" borderId="32" applyNumberFormat="0" applyBorder="0" applyAlignment="0" applyProtection="0"/>
    <xf numFmtId="169" fontId="2" fillId="91" borderId="32" applyNumberFormat="0" applyBorder="0" applyAlignment="0" applyProtection="0"/>
    <xf numFmtId="0" fontId="2" fillId="91" borderId="32" applyNumberFormat="0" applyBorder="0" applyAlignment="0" applyProtection="0"/>
    <xf numFmtId="0" fontId="2" fillId="91" borderId="32" applyNumberFormat="0" applyBorder="0" applyAlignment="0" applyProtection="0"/>
    <xf numFmtId="169" fontId="25" fillId="73" borderId="32" applyNumberFormat="0" applyBorder="0" applyAlignment="0" applyProtection="0"/>
    <xf numFmtId="0" fontId="2" fillId="91" borderId="32" applyNumberFormat="0" applyBorder="0" applyAlignment="0" applyProtection="0"/>
    <xf numFmtId="0" fontId="2" fillId="91" borderId="32" applyNumberFormat="0" applyBorder="0" applyAlignment="0" applyProtection="0"/>
    <xf numFmtId="0" fontId="60" fillId="72" borderId="32" applyNumberFormat="0" applyBorder="0" applyAlignment="0" applyProtection="0"/>
    <xf numFmtId="0" fontId="60" fillId="72" borderId="32" applyNumberFormat="0" applyBorder="0" applyAlignment="0" applyProtection="0"/>
    <xf numFmtId="0" fontId="60" fillId="74" borderId="32" applyNumberFormat="0" applyBorder="0" applyAlignment="0" applyProtection="0"/>
    <xf numFmtId="169" fontId="25" fillId="76" borderId="32" applyNumberFormat="0" applyBorder="0" applyAlignment="0" applyProtection="0"/>
    <xf numFmtId="0" fontId="25" fillId="76" borderId="32" applyNumberFormat="0" applyBorder="0" applyAlignment="0" applyProtection="0"/>
    <xf numFmtId="169" fontId="2" fillId="92" borderId="32" applyNumberFormat="0" applyBorder="0" applyAlignment="0" applyProtection="0"/>
    <xf numFmtId="0" fontId="2" fillId="92" borderId="32" applyNumberFormat="0" applyBorder="0" applyAlignment="0" applyProtection="0"/>
    <xf numFmtId="0" fontId="2" fillId="92" borderId="32" applyNumberFormat="0" applyBorder="0" applyAlignment="0" applyProtection="0"/>
    <xf numFmtId="169" fontId="2" fillId="92" borderId="32" applyNumberFormat="0" applyBorder="0" applyAlignment="0" applyProtection="0"/>
    <xf numFmtId="0" fontId="2" fillId="92" borderId="32" applyNumberFormat="0" applyBorder="0" applyAlignment="0" applyProtection="0"/>
    <xf numFmtId="0" fontId="2" fillId="92" borderId="32" applyNumberFormat="0" applyBorder="0" applyAlignment="0" applyProtection="0"/>
    <xf numFmtId="0" fontId="25" fillId="76" borderId="32" applyNumberFormat="0" applyBorder="0" applyAlignment="0" applyProtection="0"/>
    <xf numFmtId="169" fontId="60" fillId="74" borderId="32" applyNumberFormat="0" applyBorder="0" applyAlignment="0" applyProtection="0"/>
    <xf numFmtId="169" fontId="2" fillId="92" borderId="32" applyNumberFormat="0" applyBorder="0" applyAlignment="0" applyProtection="0"/>
    <xf numFmtId="0" fontId="2" fillId="92" borderId="32" applyNumberFormat="0" applyBorder="0" applyAlignment="0" applyProtection="0"/>
    <xf numFmtId="0" fontId="2" fillId="92" borderId="32" applyNumberFormat="0" applyBorder="0" applyAlignment="0" applyProtection="0"/>
    <xf numFmtId="169" fontId="2" fillId="92" borderId="32" applyNumberFormat="0" applyBorder="0" applyAlignment="0" applyProtection="0"/>
    <xf numFmtId="0" fontId="2" fillId="92" borderId="32" applyNumberFormat="0" applyBorder="0" applyAlignment="0" applyProtection="0"/>
    <xf numFmtId="0" fontId="2" fillId="92" borderId="32" applyNumberFormat="0" applyBorder="0" applyAlignment="0" applyProtection="0"/>
    <xf numFmtId="169" fontId="25" fillId="76" borderId="32" applyNumberFormat="0" applyBorder="0" applyAlignment="0" applyProtection="0"/>
    <xf numFmtId="0" fontId="2" fillId="92" borderId="32" applyNumberFormat="0" applyBorder="0" applyAlignment="0" applyProtection="0"/>
    <xf numFmtId="0" fontId="2" fillId="92" borderId="32" applyNumberFormat="0" applyBorder="0" applyAlignment="0" applyProtection="0"/>
    <xf numFmtId="0" fontId="60" fillId="74" borderId="32" applyNumberFormat="0" applyBorder="0" applyAlignment="0" applyProtection="0"/>
    <xf numFmtId="0" fontId="60" fillId="74" borderId="32" applyNumberFormat="0" applyBorder="0" applyAlignment="0" applyProtection="0"/>
    <xf numFmtId="0" fontId="60" fillId="80" borderId="32" applyNumberFormat="0" applyBorder="0" applyAlignment="0" applyProtection="0"/>
    <xf numFmtId="169" fontId="25" fillId="86" borderId="32" applyNumberFormat="0" applyBorder="0" applyAlignment="0" applyProtection="0"/>
    <xf numFmtId="0" fontId="25" fillId="86" borderId="32" applyNumberFormat="0" applyBorder="0" applyAlignment="0" applyProtection="0"/>
    <xf numFmtId="169" fontId="2" fillId="70" borderId="32" applyNumberFormat="0" applyBorder="0" applyAlignment="0" applyProtection="0"/>
    <xf numFmtId="0" fontId="2" fillId="70" borderId="32" applyNumberFormat="0" applyBorder="0" applyAlignment="0" applyProtection="0"/>
    <xf numFmtId="0" fontId="2" fillId="70" borderId="32" applyNumberFormat="0" applyBorder="0" applyAlignment="0" applyProtection="0"/>
    <xf numFmtId="169" fontId="2" fillId="70" borderId="32" applyNumberFormat="0" applyBorder="0" applyAlignment="0" applyProtection="0"/>
    <xf numFmtId="0" fontId="2" fillId="70" borderId="32" applyNumberFormat="0" applyBorder="0" applyAlignment="0" applyProtection="0"/>
    <xf numFmtId="0" fontId="2" fillId="70" borderId="32" applyNumberFormat="0" applyBorder="0" applyAlignment="0" applyProtection="0"/>
    <xf numFmtId="0" fontId="25" fillId="86" borderId="32" applyNumberFormat="0" applyBorder="0" applyAlignment="0" applyProtection="0"/>
    <xf numFmtId="169" fontId="60" fillId="80" borderId="32" applyNumberFormat="0" applyBorder="0" applyAlignment="0" applyProtection="0"/>
    <xf numFmtId="169" fontId="2" fillId="70" borderId="32" applyNumberFormat="0" applyBorder="0" applyAlignment="0" applyProtection="0"/>
    <xf numFmtId="0" fontId="2" fillId="70" borderId="32" applyNumberFormat="0" applyBorder="0" applyAlignment="0" applyProtection="0"/>
    <xf numFmtId="0" fontId="2" fillId="70" borderId="32" applyNumberFormat="0" applyBorder="0" applyAlignment="0" applyProtection="0"/>
    <xf numFmtId="169" fontId="2" fillId="70" borderId="32" applyNumberFormat="0" applyBorder="0" applyAlignment="0" applyProtection="0"/>
    <xf numFmtId="0" fontId="2" fillId="70" borderId="32" applyNumberFormat="0" applyBorder="0" applyAlignment="0" applyProtection="0"/>
    <xf numFmtId="0" fontId="2" fillId="70" borderId="32" applyNumberFormat="0" applyBorder="0" applyAlignment="0" applyProtection="0"/>
    <xf numFmtId="169" fontId="25" fillId="86" borderId="32" applyNumberFormat="0" applyBorder="0" applyAlignment="0" applyProtection="0"/>
    <xf numFmtId="0" fontId="2" fillId="70" borderId="32" applyNumberFormat="0" applyBorder="0" applyAlignment="0" applyProtection="0"/>
    <xf numFmtId="0" fontId="2" fillId="70" borderId="32" applyNumberFormat="0" applyBorder="0" applyAlignment="0" applyProtection="0"/>
    <xf numFmtId="0" fontId="60" fillId="80" borderId="32" applyNumberFormat="0" applyBorder="0" applyAlignment="0" applyProtection="0"/>
    <xf numFmtId="0" fontId="60" fillId="80" borderId="32" applyNumberFormat="0" applyBorder="0" applyAlignment="0" applyProtection="0"/>
    <xf numFmtId="169" fontId="62" fillId="93" borderId="32" applyNumberFormat="0" applyBorder="0" applyAlignment="0" applyProtection="0"/>
    <xf numFmtId="0" fontId="62" fillId="93" borderId="32" applyNumberFormat="0" applyBorder="0" applyAlignment="0" applyProtection="0"/>
    <xf numFmtId="169" fontId="62" fillId="78" borderId="32" applyNumberFormat="0" applyBorder="0" applyAlignment="0" applyProtection="0"/>
    <xf numFmtId="0" fontId="62" fillId="78" borderId="32" applyNumberFormat="0" applyBorder="0" applyAlignment="0" applyProtection="0"/>
    <xf numFmtId="169" fontId="62" fillId="85" borderId="32" applyNumberFormat="0" applyBorder="0" applyAlignment="0" applyProtection="0"/>
    <xf numFmtId="0" fontId="62" fillId="85" borderId="32" applyNumberFormat="0" applyBorder="0" applyAlignment="0" applyProtection="0"/>
    <xf numFmtId="169" fontId="62" fillId="94" borderId="32" applyNumberFormat="0" applyBorder="0" applyAlignment="0" applyProtection="0"/>
    <xf numFmtId="0" fontId="62" fillId="94" borderId="32" applyNumberFormat="0" applyBorder="0" applyAlignment="0" applyProtection="0"/>
    <xf numFmtId="169" fontId="62" fillId="95" borderId="32" applyNumberFormat="0" applyBorder="0" applyAlignment="0" applyProtection="0"/>
    <xf numFmtId="0" fontId="62" fillId="95" borderId="32" applyNumberFormat="0" applyBorder="0" applyAlignment="0" applyProtection="0"/>
    <xf numFmtId="169" fontId="62" fillId="96" borderId="32" applyNumberFormat="0" applyBorder="0" applyAlignment="0" applyProtection="0"/>
    <xf numFmtId="0" fontId="62" fillId="96" borderId="32" applyNumberFormat="0" applyBorder="0" applyAlignment="0" applyProtection="0"/>
    <xf numFmtId="169" fontId="26" fillId="93" borderId="32" applyNumberFormat="0" applyBorder="0" applyAlignment="0" applyProtection="0"/>
    <xf numFmtId="0" fontId="26" fillId="93" borderId="32" applyNumberFormat="0" applyBorder="0" applyAlignment="0" applyProtection="0"/>
    <xf numFmtId="169" fontId="59" fillId="97" borderId="32" applyNumberFormat="0" applyBorder="0" applyAlignment="0" applyProtection="0"/>
    <xf numFmtId="0" fontId="59" fillId="97" borderId="32" applyNumberFormat="0" applyBorder="0" applyAlignment="0" applyProtection="0"/>
    <xf numFmtId="0" fontId="26" fillId="93" borderId="32" applyNumberFormat="0" applyBorder="0" applyAlignment="0" applyProtection="0"/>
    <xf numFmtId="169" fontId="62" fillId="74" borderId="32" applyNumberFormat="0" applyBorder="0" applyAlignment="0" applyProtection="0"/>
    <xf numFmtId="169" fontId="26" fillId="93" borderId="32" applyNumberFormat="0" applyBorder="0" applyAlignment="0" applyProtection="0"/>
    <xf numFmtId="0" fontId="62" fillId="74" borderId="32" applyNumberFormat="0" applyBorder="0" applyAlignment="0" applyProtection="0"/>
    <xf numFmtId="0" fontId="62" fillId="74" borderId="32" applyNumberFormat="0" applyBorder="0" applyAlignment="0" applyProtection="0"/>
    <xf numFmtId="0" fontId="62" fillId="74" borderId="32" applyNumberFormat="0" applyBorder="0" applyAlignment="0" applyProtection="0"/>
    <xf numFmtId="169" fontId="26" fillId="78" borderId="32" applyNumberFormat="0" applyBorder="0" applyAlignment="0" applyProtection="0"/>
    <xf numFmtId="0" fontId="26" fillId="78" borderId="32" applyNumberFormat="0" applyBorder="0" applyAlignment="0" applyProtection="0"/>
    <xf numFmtId="169" fontId="59" fillId="98" borderId="32" applyNumberFormat="0" applyBorder="0" applyAlignment="0" applyProtection="0"/>
    <xf numFmtId="0" fontId="59" fillId="98" borderId="32" applyNumberFormat="0" applyBorder="0" applyAlignment="0" applyProtection="0"/>
    <xf numFmtId="0" fontId="26" fillId="78" borderId="32" applyNumberFormat="0" applyBorder="0" applyAlignment="0" applyProtection="0"/>
    <xf numFmtId="169" fontId="62" fillId="99" borderId="32" applyNumberFormat="0" applyBorder="0" applyAlignment="0" applyProtection="0"/>
    <xf numFmtId="169" fontId="26" fillId="78" borderId="32" applyNumberFormat="0" applyBorder="0" applyAlignment="0" applyProtection="0"/>
    <xf numFmtId="0" fontId="62" fillId="99" borderId="32" applyNumberFormat="0" applyBorder="0" applyAlignment="0" applyProtection="0"/>
    <xf numFmtId="0" fontId="62" fillId="99" borderId="32" applyNumberFormat="0" applyBorder="0" applyAlignment="0" applyProtection="0"/>
    <xf numFmtId="0" fontId="62" fillId="99" borderId="32" applyNumberFormat="0" applyBorder="0" applyAlignment="0" applyProtection="0"/>
    <xf numFmtId="169" fontId="26" fillId="85" borderId="32" applyNumberFormat="0" applyBorder="0" applyAlignment="0" applyProtection="0"/>
    <xf numFmtId="0" fontId="26" fillId="85" borderId="32" applyNumberFormat="0" applyBorder="0" applyAlignment="0" applyProtection="0"/>
    <xf numFmtId="169" fontId="59" fillId="100" borderId="32" applyNumberFormat="0" applyBorder="0" applyAlignment="0" applyProtection="0"/>
    <xf numFmtId="0" fontId="59" fillId="100" borderId="32" applyNumberFormat="0" applyBorder="0" applyAlignment="0" applyProtection="0"/>
    <xf numFmtId="0" fontId="26" fillId="85" borderId="32" applyNumberFormat="0" applyBorder="0" applyAlignment="0" applyProtection="0"/>
    <xf numFmtId="169" fontId="59" fillId="85" borderId="32" applyNumberFormat="0" applyBorder="0" applyAlignment="0" applyProtection="0"/>
    <xf numFmtId="169" fontId="62" fillId="86" borderId="32" applyNumberFormat="0" applyBorder="0" applyAlignment="0" applyProtection="0"/>
    <xf numFmtId="0" fontId="62" fillId="86" borderId="32" applyNumberFormat="0" applyBorder="0" applyAlignment="0" applyProtection="0"/>
    <xf numFmtId="169" fontId="26" fillId="85" borderId="32" applyNumberFormat="0" applyBorder="0" applyAlignment="0" applyProtection="0"/>
    <xf numFmtId="0" fontId="62" fillId="86" borderId="32" applyNumberFormat="0" applyBorder="0" applyAlignment="0" applyProtection="0"/>
    <xf numFmtId="0" fontId="62" fillId="86" borderId="32" applyNumberFormat="0" applyBorder="0" applyAlignment="0" applyProtection="0"/>
    <xf numFmtId="0" fontId="62" fillId="86" borderId="32" applyNumberFormat="0" applyBorder="0" applyAlignment="0" applyProtection="0"/>
    <xf numFmtId="169" fontId="26" fillId="94" borderId="32" applyNumberFormat="0" applyBorder="0" applyAlignment="0" applyProtection="0"/>
    <xf numFmtId="0" fontId="26" fillId="94" borderId="32" applyNumberFormat="0" applyBorder="0" applyAlignment="0" applyProtection="0"/>
    <xf numFmtId="169" fontId="59" fillId="101" borderId="32" applyNumberFormat="0" applyBorder="0" applyAlignment="0" applyProtection="0"/>
    <xf numFmtId="0" fontId="59" fillId="101" borderId="32" applyNumberFormat="0" applyBorder="0" applyAlignment="0" applyProtection="0"/>
    <xf numFmtId="0" fontId="26" fillId="94" borderId="32" applyNumberFormat="0" applyBorder="0" applyAlignment="0" applyProtection="0"/>
    <xf numFmtId="169" fontId="59" fillId="94" borderId="32" applyNumberFormat="0" applyBorder="0" applyAlignment="0" applyProtection="0"/>
    <xf numFmtId="169" fontId="62" fillId="72" borderId="32" applyNumberFormat="0" applyBorder="0" applyAlignment="0" applyProtection="0"/>
    <xf numFmtId="0" fontId="62" fillId="72" borderId="32" applyNumberFormat="0" applyBorder="0" applyAlignment="0" applyProtection="0"/>
    <xf numFmtId="169" fontId="26" fillId="94" borderId="32" applyNumberFormat="0" applyBorder="0" applyAlignment="0" applyProtection="0"/>
    <xf numFmtId="0" fontId="62" fillId="72" borderId="32" applyNumberFormat="0" applyBorder="0" applyAlignment="0" applyProtection="0"/>
    <xf numFmtId="0" fontId="62" fillId="72" borderId="32" applyNumberFormat="0" applyBorder="0" applyAlignment="0" applyProtection="0"/>
    <xf numFmtId="0" fontId="62" fillId="72" borderId="32" applyNumberFormat="0" applyBorder="0" applyAlignment="0" applyProtection="0"/>
    <xf numFmtId="169" fontId="26" fillId="95" borderId="32" applyNumberFormat="0" applyBorder="0" applyAlignment="0" applyProtection="0"/>
    <xf numFmtId="0" fontId="26" fillId="95" borderId="32" applyNumberFormat="0" applyBorder="0" applyAlignment="0" applyProtection="0"/>
    <xf numFmtId="169" fontId="59" fillId="102" borderId="32" applyNumberFormat="0" applyBorder="0" applyAlignment="0" applyProtection="0"/>
    <xf numFmtId="0" fontId="59" fillId="102" borderId="32" applyNumberFormat="0" applyBorder="0" applyAlignment="0" applyProtection="0"/>
    <xf numFmtId="0" fontId="26" fillId="95" borderId="32" applyNumberFormat="0" applyBorder="0" applyAlignment="0" applyProtection="0"/>
    <xf numFmtId="169" fontId="62" fillId="74" borderId="32" applyNumberFormat="0" applyBorder="0" applyAlignment="0" applyProtection="0"/>
    <xf numFmtId="169" fontId="26" fillId="95" borderId="32" applyNumberFormat="0" applyBorder="0" applyAlignment="0" applyProtection="0"/>
    <xf numFmtId="0" fontId="62" fillId="74" borderId="32" applyNumberFormat="0" applyBorder="0" applyAlignment="0" applyProtection="0"/>
    <xf numFmtId="0" fontId="62" fillId="74" borderId="32" applyNumberFormat="0" applyBorder="0" applyAlignment="0" applyProtection="0"/>
    <xf numFmtId="0" fontId="62" fillId="74" borderId="32" applyNumberFormat="0" applyBorder="0" applyAlignment="0" applyProtection="0"/>
    <xf numFmtId="169" fontId="26" fillId="96" borderId="32" applyNumberFormat="0" applyBorder="0" applyAlignment="0" applyProtection="0"/>
    <xf numFmtId="0" fontId="26" fillId="96" borderId="32" applyNumberFormat="0" applyBorder="0" applyAlignment="0" applyProtection="0"/>
    <xf numFmtId="169" fontId="59" fillId="103" borderId="32" applyNumberFormat="0" applyBorder="0" applyAlignment="0" applyProtection="0"/>
    <xf numFmtId="0" fontId="59" fillId="103" borderId="32" applyNumberFormat="0" applyBorder="0" applyAlignment="0" applyProtection="0"/>
    <xf numFmtId="0" fontId="26" fillId="96" borderId="32" applyNumberFormat="0" applyBorder="0" applyAlignment="0" applyProtection="0"/>
    <xf numFmtId="169" fontId="59" fillId="96" borderId="32" applyNumberFormat="0" applyBorder="0" applyAlignment="0" applyProtection="0"/>
    <xf numFmtId="169" fontId="62" fillId="78" borderId="32" applyNumberFormat="0" applyBorder="0" applyAlignment="0" applyProtection="0"/>
    <xf numFmtId="0" fontId="62" fillId="78" borderId="32" applyNumberFormat="0" applyBorder="0" applyAlignment="0" applyProtection="0"/>
    <xf numFmtId="169" fontId="26" fillId="96" borderId="32" applyNumberFormat="0" applyBorder="0" applyAlignment="0" applyProtection="0"/>
    <xf numFmtId="0" fontId="62" fillId="78" borderId="32" applyNumberFormat="0" applyBorder="0" applyAlignment="0" applyProtection="0"/>
    <xf numFmtId="0" fontId="62" fillId="78" borderId="32" applyNumberFormat="0" applyBorder="0" applyAlignment="0" applyProtection="0"/>
    <xf numFmtId="0" fontId="62" fillId="78" borderId="32" applyNumberFormat="0" applyBorder="0" applyAlignment="0" applyProtection="0"/>
    <xf numFmtId="169" fontId="62" fillId="104" borderId="32" applyNumberFormat="0" applyBorder="0" applyAlignment="0" applyProtection="0"/>
    <xf numFmtId="0" fontId="62" fillId="104" borderId="32" applyNumberFormat="0" applyBorder="0" applyAlignment="0" applyProtection="0"/>
    <xf numFmtId="169" fontId="62" fillId="105" borderId="32" applyNumberFormat="0" applyBorder="0" applyAlignment="0" applyProtection="0"/>
    <xf numFmtId="0" fontId="62" fillId="105" borderId="32" applyNumberFormat="0" applyBorder="0" applyAlignment="0" applyProtection="0"/>
    <xf numFmtId="169" fontId="62" fillId="106" borderId="32" applyNumberFormat="0" applyBorder="0" applyAlignment="0" applyProtection="0"/>
    <xf numFmtId="0" fontId="62" fillId="106" borderId="32" applyNumberFormat="0" applyBorder="0" applyAlignment="0" applyProtection="0"/>
    <xf numFmtId="169" fontId="62" fillId="94" borderId="32" applyNumberFormat="0" applyBorder="0" applyAlignment="0" applyProtection="0"/>
    <xf numFmtId="0" fontId="62" fillId="94" borderId="32" applyNumberFormat="0" applyBorder="0" applyAlignment="0" applyProtection="0"/>
    <xf numFmtId="169" fontId="62" fillId="95" borderId="32" applyNumberFormat="0" applyBorder="0" applyAlignment="0" applyProtection="0"/>
    <xf numFmtId="0" fontId="62" fillId="95" borderId="32" applyNumberFormat="0" applyBorder="0" applyAlignment="0" applyProtection="0"/>
    <xf numFmtId="169" fontId="62" fillId="99" borderId="32" applyNumberFormat="0" applyBorder="0" applyAlignment="0" applyProtection="0"/>
    <xf numFmtId="0" fontId="62" fillId="99" borderId="32" applyNumberFormat="0" applyBorder="0" applyAlignment="0" applyProtection="0"/>
    <xf numFmtId="169" fontId="63" fillId="72" borderId="32" applyNumberFormat="0" applyBorder="0" applyAlignment="0" applyProtection="0"/>
    <xf numFmtId="0" fontId="63" fillId="72" borderId="32" applyNumberFormat="0" applyBorder="0" applyAlignment="0" applyProtection="0"/>
    <xf numFmtId="169" fontId="27" fillId="66" borderId="32" applyNumberFormat="0" applyBorder="0" applyAlignment="0" applyProtection="0"/>
    <xf numFmtId="0" fontId="27" fillId="66" borderId="32" applyNumberFormat="0" applyBorder="0" applyAlignment="0" applyProtection="0"/>
    <xf numFmtId="169" fontId="48" fillId="107" borderId="32" applyNumberFormat="0" applyBorder="0" applyAlignment="0" applyProtection="0"/>
    <xf numFmtId="0" fontId="48" fillId="107" borderId="32" applyNumberFormat="0" applyBorder="0" applyAlignment="0" applyProtection="0"/>
    <xf numFmtId="0" fontId="27" fillId="66" borderId="32" applyNumberFormat="0" applyBorder="0" applyAlignment="0" applyProtection="0"/>
    <xf numFmtId="169" fontId="64" fillId="74" borderId="32" applyNumberFormat="0" applyBorder="0" applyAlignment="0" applyProtection="0"/>
    <xf numFmtId="169" fontId="27" fillId="66" borderId="32" applyNumberFormat="0" applyBorder="0" applyAlignment="0" applyProtection="0"/>
    <xf numFmtId="0" fontId="64" fillId="74" borderId="32" applyNumberFormat="0" applyBorder="0" applyAlignment="0" applyProtection="0"/>
    <xf numFmtId="0" fontId="64" fillId="74" borderId="32" applyNumberFormat="0" applyBorder="0" applyAlignment="0" applyProtection="0"/>
    <xf numFmtId="0" fontId="64" fillId="74" borderId="32" applyNumberFormat="0" applyBorder="0" applyAlignment="0" applyProtection="0"/>
    <xf numFmtId="169" fontId="65" fillId="63" borderId="38" applyNumberFormat="0" applyAlignment="0" applyProtection="0"/>
    <xf numFmtId="169" fontId="65" fillId="18" borderId="38" applyNumberFormat="0" applyAlignment="0" applyProtection="0"/>
    <xf numFmtId="0" fontId="65" fillId="63" borderId="38" applyNumberFormat="0" applyAlignment="0" applyProtection="0"/>
    <xf numFmtId="0" fontId="65" fillId="18" borderId="38" applyNumberFormat="0" applyAlignment="0" applyProtection="0"/>
    <xf numFmtId="169" fontId="28" fillId="63" borderId="38" applyNumberFormat="0" applyAlignment="0" applyProtection="0"/>
    <xf numFmtId="169" fontId="28" fillId="18" borderId="38" applyNumberFormat="0" applyAlignment="0" applyProtection="0"/>
    <xf numFmtId="0" fontId="28" fillId="63" borderId="38" applyNumberFormat="0" applyAlignment="0" applyProtection="0"/>
    <xf numFmtId="0" fontId="28" fillId="18" borderId="38" applyNumberFormat="0" applyAlignment="0" applyProtection="0"/>
    <xf numFmtId="169" fontId="53" fillId="108" borderId="64" applyNumberFormat="0" applyAlignment="0" applyProtection="0"/>
    <xf numFmtId="0" fontId="53" fillId="108" borderId="64" applyNumberFormat="0" applyAlignment="0" applyProtection="0"/>
    <xf numFmtId="0" fontId="28" fillId="63" borderId="38" applyNumberFormat="0" applyAlignment="0" applyProtection="0"/>
    <xf numFmtId="0" fontId="28" fillId="18" borderId="38" applyNumberFormat="0" applyAlignment="0" applyProtection="0"/>
    <xf numFmtId="169" fontId="66" fillId="61" borderId="38" applyNumberFormat="0" applyAlignment="0" applyProtection="0"/>
    <xf numFmtId="169" fontId="66" fillId="57" borderId="38" applyNumberFormat="0" applyAlignment="0" applyProtection="0"/>
    <xf numFmtId="0" fontId="66" fillId="57" borderId="38" applyNumberFormat="0" applyAlignment="0" applyProtection="0"/>
    <xf numFmtId="169" fontId="28" fillId="63" borderId="38" applyNumberFormat="0" applyAlignment="0" applyProtection="0"/>
    <xf numFmtId="169" fontId="28" fillId="18" borderId="38" applyNumberFormat="0" applyAlignment="0" applyProtection="0"/>
    <xf numFmtId="0" fontId="66" fillId="61" borderId="38" applyNumberFormat="0" applyAlignment="0" applyProtection="0"/>
    <xf numFmtId="0" fontId="66" fillId="57" borderId="38" applyNumberFormat="0" applyAlignment="0" applyProtection="0"/>
    <xf numFmtId="0" fontId="66" fillId="61" borderId="38" applyNumberFormat="0" applyAlignment="0" applyProtection="0"/>
    <xf numFmtId="0" fontId="66" fillId="57" borderId="38" applyNumberFormat="0" applyAlignment="0" applyProtection="0"/>
    <xf numFmtId="0" fontId="66" fillId="61" borderId="38" applyNumberFormat="0" applyAlignment="0" applyProtection="0"/>
    <xf numFmtId="0" fontId="66" fillId="57" borderId="38" applyNumberFormat="0" applyAlignment="0" applyProtection="0"/>
    <xf numFmtId="169" fontId="7" fillId="0" borderId="32"/>
    <xf numFmtId="0" fontId="7" fillId="0" borderId="32"/>
    <xf numFmtId="169" fontId="7" fillId="0" borderId="32"/>
    <xf numFmtId="0" fontId="7" fillId="0" borderId="32"/>
    <xf numFmtId="169" fontId="96" fillId="0" borderId="32"/>
    <xf numFmtId="169" fontId="110" fillId="0" borderId="32"/>
    <xf numFmtId="169" fontId="110" fillId="0" borderId="32"/>
    <xf numFmtId="0" fontId="110" fillId="0" borderId="32"/>
    <xf numFmtId="0" fontId="110" fillId="0" borderId="32"/>
    <xf numFmtId="169" fontId="29" fillId="109" borderId="39" applyNumberFormat="0" applyAlignment="0" applyProtection="0"/>
    <xf numFmtId="0" fontId="29" fillId="109" borderId="39" applyNumberFormat="0" applyAlignment="0" applyProtection="0"/>
    <xf numFmtId="169" fontId="55" fillId="110" borderId="67" applyNumberFormat="0" applyAlignment="0" applyProtection="0"/>
    <xf numFmtId="0" fontId="55" fillId="110" borderId="67" applyNumberFormat="0" applyAlignment="0" applyProtection="0"/>
    <xf numFmtId="0" fontId="29" fillId="109" borderId="39" applyNumberFormat="0" applyAlignment="0" applyProtection="0"/>
    <xf numFmtId="169" fontId="68" fillId="109" borderId="39" applyNumberFormat="0" applyAlignment="0" applyProtection="0"/>
    <xf numFmtId="169" fontId="29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0" fontId="68" fillId="109" borderId="39" applyNumberFormat="0" applyAlignment="0" applyProtection="0"/>
    <xf numFmtId="169" fontId="30" fillId="0" borderId="40" applyNumberFormat="0" applyFill="0" applyAlignment="0" applyProtection="0"/>
    <xf numFmtId="0" fontId="30" fillId="0" borderId="40" applyNumberFormat="0" applyFill="0" applyAlignment="0" applyProtection="0"/>
    <xf numFmtId="169" fontId="54" fillId="0" borderId="66" applyNumberFormat="0" applyFill="0" applyAlignment="0" applyProtection="0"/>
    <xf numFmtId="0" fontId="54" fillId="0" borderId="66" applyNumberFormat="0" applyFill="0" applyAlignment="0" applyProtection="0"/>
    <xf numFmtId="0" fontId="30" fillId="0" borderId="40" applyNumberFormat="0" applyFill="0" applyAlignment="0" applyProtection="0"/>
    <xf numFmtId="169" fontId="70" fillId="0" borderId="70" applyNumberFormat="0" applyFill="0" applyAlignment="0" applyProtection="0"/>
    <xf numFmtId="169" fontId="30" fillId="0" borderId="40" applyNumberFormat="0" applyFill="0" applyAlignment="0" applyProtection="0"/>
    <xf numFmtId="0" fontId="70" fillId="0" borderId="70" applyNumberFormat="0" applyFill="0" applyAlignment="0" applyProtection="0"/>
    <xf numFmtId="0" fontId="70" fillId="0" borderId="70" applyNumberFormat="0" applyFill="0" applyAlignment="0" applyProtection="0"/>
    <xf numFmtId="0" fontId="70" fillId="0" borderId="70" applyNumberFormat="0" applyFill="0" applyAlignment="0" applyProtection="0"/>
    <xf numFmtId="169" fontId="68" fillId="109" borderId="39" applyNumberFormat="0" applyAlignment="0" applyProtection="0"/>
    <xf numFmtId="0" fontId="68" fillId="109" borderId="39" applyNumberFormat="0" applyAlignment="0" applyProtection="0"/>
    <xf numFmtId="169" fontId="26" fillId="104" borderId="32" applyNumberFormat="0" applyBorder="0" applyAlignment="0" applyProtection="0"/>
    <xf numFmtId="0" fontId="26" fillId="104" borderId="32" applyNumberFormat="0" applyBorder="0" applyAlignment="0" applyProtection="0"/>
    <xf numFmtId="169" fontId="59" fillId="111" borderId="32" applyNumberFormat="0" applyBorder="0" applyAlignment="0" applyProtection="0"/>
    <xf numFmtId="0" fontId="59" fillId="111" borderId="32" applyNumberFormat="0" applyBorder="0" applyAlignment="0" applyProtection="0"/>
    <xf numFmtId="0" fontId="26" fillId="104" borderId="32" applyNumberFormat="0" applyBorder="0" applyAlignment="0" applyProtection="0"/>
    <xf numFmtId="169" fontId="62" fillId="112" borderId="32" applyNumberFormat="0" applyBorder="0" applyAlignment="0" applyProtection="0"/>
    <xf numFmtId="169" fontId="26" fillId="104" borderId="32" applyNumberFormat="0" applyBorder="0" applyAlignment="0" applyProtection="0"/>
    <xf numFmtId="0" fontId="62" fillId="112" borderId="32" applyNumberFormat="0" applyBorder="0" applyAlignment="0" applyProtection="0"/>
    <xf numFmtId="0" fontId="62" fillId="112" borderId="32" applyNumberFormat="0" applyBorder="0" applyAlignment="0" applyProtection="0"/>
    <xf numFmtId="0" fontId="62" fillId="112" borderId="32" applyNumberFormat="0" applyBorder="0" applyAlignment="0" applyProtection="0"/>
    <xf numFmtId="169" fontId="26" fillId="105" borderId="32" applyNumberFormat="0" applyBorder="0" applyAlignment="0" applyProtection="0"/>
    <xf numFmtId="0" fontId="26" fillId="105" borderId="32" applyNumberFormat="0" applyBorder="0" applyAlignment="0" applyProtection="0"/>
    <xf numFmtId="169" fontId="59" fillId="113" borderId="32" applyNumberFormat="0" applyBorder="0" applyAlignment="0" applyProtection="0"/>
    <xf numFmtId="0" fontId="59" fillId="113" borderId="32" applyNumberFormat="0" applyBorder="0" applyAlignment="0" applyProtection="0"/>
    <xf numFmtId="0" fontId="26" fillId="105" borderId="32" applyNumberFormat="0" applyBorder="0" applyAlignment="0" applyProtection="0"/>
    <xf numFmtId="169" fontId="62" fillId="99" borderId="32" applyNumberFormat="0" applyBorder="0" applyAlignment="0" applyProtection="0"/>
    <xf numFmtId="169" fontId="26" fillId="105" borderId="32" applyNumberFormat="0" applyBorder="0" applyAlignment="0" applyProtection="0"/>
    <xf numFmtId="0" fontId="62" fillId="99" borderId="32" applyNumberFormat="0" applyBorder="0" applyAlignment="0" applyProtection="0"/>
    <xf numFmtId="0" fontId="62" fillId="99" borderId="32" applyNumberFormat="0" applyBorder="0" applyAlignment="0" applyProtection="0"/>
    <xf numFmtId="0" fontId="62" fillId="99" borderId="32" applyNumberFormat="0" applyBorder="0" applyAlignment="0" applyProtection="0"/>
    <xf numFmtId="169" fontId="26" fillId="106" borderId="32" applyNumberFormat="0" applyBorder="0" applyAlignment="0" applyProtection="0"/>
    <xf numFmtId="0" fontId="26" fillId="106" borderId="32" applyNumberFormat="0" applyBorder="0" applyAlignment="0" applyProtection="0"/>
    <xf numFmtId="169" fontId="59" fillId="114" borderId="32" applyNumberFormat="0" applyBorder="0" applyAlignment="0" applyProtection="0"/>
    <xf numFmtId="0" fontId="59" fillId="114" borderId="32" applyNumberFormat="0" applyBorder="0" applyAlignment="0" applyProtection="0"/>
    <xf numFmtId="0" fontId="26" fillId="106" borderId="32" applyNumberFormat="0" applyBorder="0" applyAlignment="0" applyProtection="0"/>
    <xf numFmtId="169" fontId="62" fillId="86" borderId="32" applyNumberFormat="0" applyBorder="0" applyAlignment="0" applyProtection="0"/>
    <xf numFmtId="169" fontId="26" fillId="106" borderId="32" applyNumberFormat="0" applyBorder="0" applyAlignment="0" applyProtection="0"/>
    <xf numFmtId="0" fontId="62" fillId="86" borderId="32" applyNumberFormat="0" applyBorder="0" applyAlignment="0" applyProtection="0"/>
    <xf numFmtId="0" fontId="62" fillId="86" borderId="32" applyNumberFormat="0" applyBorder="0" applyAlignment="0" applyProtection="0"/>
    <xf numFmtId="0" fontId="62" fillId="86" borderId="32" applyNumberFormat="0" applyBorder="0" applyAlignment="0" applyProtection="0"/>
    <xf numFmtId="169" fontId="26" fillId="94" borderId="32" applyNumberFormat="0" applyBorder="0" applyAlignment="0" applyProtection="0"/>
    <xf numFmtId="0" fontId="26" fillId="94" borderId="32" applyNumberFormat="0" applyBorder="0" applyAlignment="0" applyProtection="0"/>
    <xf numFmtId="169" fontId="59" fillId="115" borderId="32" applyNumberFormat="0" applyBorder="0" applyAlignment="0" applyProtection="0"/>
    <xf numFmtId="0" fontId="59" fillId="115" borderId="32" applyNumberFormat="0" applyBorder="0" applyAlignment="0" applyProtection="0"/>
    <xf numFmtId="0" fontId="26" fillId="94" borderId="32" applyNumberFormat="0" applyBorder="0" applyAlignment="0" applyProtection="0"/>
    <xf numFmtId="169" fontId="62" fillId="116" borderId="32" applyNumberFormat="0" applyBorder="0" applyAlignment="0" applyProtection="0"/>
    <xf numFmtId="169" fontId="26" fillId="94" borderId="32" applyNumberFormat="0" applyBorder="0" applyAlignment="0" applyProtection="0"/>
    <xf numFmtId="0" fontId="62" fillId="116" borderId="32" applyNumberFormat="0" applyBorder="0" applyAlignment="0" applyProtection="0"/>
    <xf numFmtId="0" fontId="62" fillId="116" borderId="32" applyNumberFormat="0" applyBorder="0" applyAlignment="0" applyProtection="0"/>
    <xf numFmtId="0" fontId="62" fillId="116" borderId="32" applyNumberFormat="0" applyBorder="0" applyAlignment="0" applyProtection="0"/>
    <xf numFmtId="169" fontId="26" fillId="95" borderId="32" applyNumberFormat="0" applyBorder="0" applyAlignment="0" applyProtection="0"/>
    <xf numFmtId="0" fontId="26" fillId="95" borderId="32" applyNumberFormat="0" applyBorder="0" applyAlignment="0" applyProtection="0"/>
    <xf numFmtId="169" fontId="59" fillId="117" borderId="32" applyNumberFormat="0" applyBorder="0" applyAlignment="0" applyProtection="0"/>
    <xf numFmtId="0" fontId="59" fillId="117" borderId="32" applyNumberFormat="0" applyBorder="0" applyAlignment="0" applyProtection="0"/>
    <xf numFmtId="0" fontId="26" fillId="95" borderId="32" applyNumberFormat="0" applyBorder="0" applyAlignment="0" applyProtection="0"/>
    <xf numFmtId="169" fontId="62" fillId="95" borderId="32" applyNumberFormat="0" applyBorder="0" applyAlignment="0" applyProtection="0"/>
    <xf numFmtId="169" fontId="26" fillId="95" borderId="32" applyNumberFormat="0" applyBorder="0" applyAlignment="0" applyProtection="0"/>
    <xf numFmtId="0" fontId="62" fillId="95" borderId="32" applyNumberFormat="0" applyBorder="0" applyAlignment="0" applyProtection="0"/>
    <xf numFmtId="0" fontId="62" fillId="95" borderId="32" applyNumberFormat="0" applyBorder="0" applyAlignment="0" applyProtection="0"/>
    <xf numFmtId="0" fontId="62" fillId="95" borderId="32" applyNumberFormat="0" applyBorder="0" applyAlignment="0" applyProtection="0"/>
    <xf numFmtId="169" fontId="26" fillId="99" borderId="32" applyNumberFormat="0" applyBorder="0" applyAlignment="0" applyProtection="0"/>
    <xf numFmtId="0" fontId="26" fillId="99" borderId="32" applyNumberFormat="0" applyBorder="0" applyAlignment="0" applyProtection="0"/>
    <xf numFmtId="169" fontId="59" fillId="118" borderId="32" applyNumberFormat="0" applyBorder="0" applyAlignment="0" applyProtection="0"/>
    <xf numFmtId="0" fontId="59" fillId="118" borderId="32" applyNumberFormat="0" applyBorder="0" applyAlignment="0" applyProtection="0"/>
    <xf numFmtId="0" fontId="26" fillId="99" borderId="32" applyNumberFormat="0" applyBorder="0" applyAlignment="0" applyProtection="0"/>
    <xf numFmtId="169" fontId="62" fillId="105" borderId="32" applyNumberFormat="0" applyBorder="0" applyAlignment="0" applyProtection="0"/>
    <xf numFmtId="169" fontId="26" fillId="99" borderId="32" applyNumberFormat="0" applyBorder="0" applyAlignment="0" applyProtection="0"/>
    <xf numFmtId="0" fontId="62" fillId="105" borderId="32" applyNumberFormat="0" applyBorder="0" applyAlignment="0" applyProtection="0"/>
    <xf numFmtId="0" fontId="62" fillId="105" borderId="32" applyNumberFormat="0" applyBorder="0" applyAlignment="0" applyProtection="0"/>
    <xf numFmtId="0" fontId="62" fillId="105" borderId="32" applyNumberFormat="0" applyBorder="0" applyAlignment="0" applyProtection="0"/>
    <xf numFmtId="169" fontId="31" fillId="75" borderId="38" applyNumberFormat="0" applyAlignment="0" applyProtection="0"/>
    <xf numFmtId="169" fontId="31" fillId="9" borderId="38" applyNumberFormat="0" applyAlignment="0" applyProtection="0"/>
    <xf numFmtId="0" fontId="31" fillId="75" borderId="38" applyNumberFormat="0" applyAlignment="0" applyProtection="0"/>
    <xf numFmtId="0" fontId="31" fillId="9" borderId="38" applyNumberFormat="0" applyAlignment="0" applyProtection="0"/>
    <xf numFmtId="169" fontId="51" fillId="119" borderId="64" applyNumberFormat="0" applyAlignment="0" applyProtection="0"/>
    <xf numFmtId="0" fontId="51" fillId="119" borderId="64" applyNumberFormat="0" applyAlignment="0" applyProtection="0"/>
    <xf numFmtId="0" fontId="31" fillId="75" borderId="38" applyNumberFormat="0" applyAlignment="0" applyProtection="0"/>
    <xf numFmtId="0" fontId="31" fillId="9" borderId="38" applyNumberFormat="0" applyAlignment="0" applyProtection="0"/>
    <xf numFmtId="169" fontId="71" fillId="89" borderId="38" applyNumberFormat="0" applyAlignment="0" applyProtection="0"/>
    <xf numFmtId="169" fontId="71" fillId="24" borderId="38" applyNumberFormat="0" applyAlignment="0" applyProtection="0"/>
    <xf numFmtId="0" fontId="71" fillId="24" borderId="38" applyNumberFormat="0" applyAlignment="0" applyProtection="0"/>
    <xf numFmtId="169" fontId="31" fillId="75" borderId="38" applyNumberFormat="0" applyAlignment="0" applyProtection="0"/>
    <xf numFmtId="169" fontId="31" fillId="9" borderId="38" applyNumberFormat="0" applyAlignment="0" applyProtection="0"/>
    <xf numFmtId="0" fontId="71" fillId="89" borderId="38" applyNumberFormat="0" applyAlignment="0" applyProtection="0"/>
    <xf numFmtId="0" fontId="71" fillId="24" borderId="38" applyNumberFormat="0" applyAlignment="0" applyProtection="0"/>
    <xf numFmtId="0" fontId="71" fillId="89" borderId="38" applyNumberFormat="0" applyAlignment="0" applyProtection="0"/>
    <xf numFmtId="0" fontId="71" fillId="24" borderId="38" applyNumberFormat="0" applyAlignment="0" applyProtection="0"/>
    <xf numFmtId="0" fontId="71" fillId="89" borderId="38" applyNumberFormat="0" applyAlignment="0" applyProtection="0"/>
    <xf numFmtId="0" fontId="71" fillId="24" borderId="38" applyNumberFormat="0" applyAlignment="0" applyProtection="0"/>
    <xf numFmtId="169" fontId="7" fillId="0" borderId="32" applyFont="0" applyFill="0" applyBorder="0" applyAlignment="0" applyProtection="0"/>
    <xf numFmtId="169" fontId="7" fillId="0" borderId="32" applyFont="0" applyFill="0" applyBorder="0" applyAlignment="0" applyProtection="0"/>
    <xf numFmtId="169" fontId="72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169" fontId="64" fillId="66" borderId="32" applyNumberFormat="0" applyBorder="0" applyAlignment="0" applyProtection="0"/>
    <xf numFmtId="0" fontId="64" fillId="66" borderId="32" applyNumberFormat="0" applyBorder="0" applyAlignment="0" applyProtection="0"/>
    <xf numFmtId="169" fontId="73" fillId="0" borderId="43" applyNumberFormat="0" applyFill="0" applyAlignment="0" applyProtection="0"/>
    <xf numFmtId="0" fontId="73" fillId="0" borderId="43" applyNumberFormat="0" applyFill="0" applyAlignment="0" applyProtection="0"/>
    <xf numFmtId="169" fontId="74" fillId="0" borderId="44" applyNumberFormat="0" applyFill="0" applyAlignment="0" applyProtection="0"/>
    <xf numFmtId="0" fontId="74" fillId="0" borderId="44" applyNumberFormat="0" applyFill="0" applyAlignment="0" applyProtection="0"/>
    <xf numFmtId="169" fontId="75" fillId="0" borderId="45" applyNumberFormat="0" applyFill="0" applyAlignment="0" applyProtection="0"/>
    <xf numFmtId="0" fontId="75" fillId="0" borderId="45" applyNumberFormat="0" applyFill="0" applyAlignment="0" applyProtection="0"/>
    <xf numFmtId="169" fontId="75" fillId="0" borderId="32" applyNumberFormat="0" applyFill="0" applyBorder="0" applyAlignment="0" applyProtection="0"/>
    <xf numFmtId="0" fontId="75" fillId="0" borderId="32" applyNumberFormat="0" applyFill="0" applyBorder="0" applyAlignment="0" applyProtection="0"/>
    <xf numFmtId="169" fontId="32" fillId="72" borderId="32" applyNumberFormat="0" applyBorder="0" applyAlignment="0" applyProtection="0"/>
    <xf numFmtId="0" fontId="32" fillId="72" borderId="32" applyNumberFormat="0" applyBorder="0" applyAlignment="0" applyProtection="0"/>
    <xf numFmtId="169" fontId="49" fillId="120" borderId="32" applyNumberFormat="0" applyBorder="0" applyAlignment="0" applyProtection="0"/>
    <xf numFmtId="0" fontId="49" fillId="120" borderId="32" applyNumberFormat="0" applyBorder="0" applyAlignment="0" applyProtection="0"/>
    <xf numFmtId="0" fontId="32" fillId="72" borderId="32" applyNumberFormat="0" applyBorder="0" applyAlignment="0" applyProtection="0"/>
    <xf numFmtId="169" fontId="63" fillId="73" borderId="32" applyNumberFormat="0" applyBorder="0" applyAlignment="0" applyProtection="0"/>
    <xf numFmtId="169" fontId="32" fillId="72" borderId="32" applyNumberFormat="0" applyBorder="0" applyAlignment="0" applyProtection="0"/>
    <xf numFmtId="0" fontId="63" fillId="73" borderId="32" applyNumberFormat="0" applyBorder="0" applyAlignment="0" applyProtection="0"/>
    <xf numFmtId="0" fontId="63" fillId="73" borderId="32" applyNumberFormat="0" applyBorder="0" applyAlignment="0" applyProtection="0"/>
    <xf numFmtId="0" fontId="63" fillId="73" borderId="32" applyNumberFormat="0" applyBorder="0" applyAlignment="0" applyProtection="0"/>
    <xf numFmtId="169" fontId="71" fillId="75" borderId="38" applyNumberFormat="0" applyAlignment="0" applyProtection="0"/>
    <xf numFmtId="169" fontId="71" fillId="9" borderId="38" applyNumberFormat="0" applyAlignment="0" applyProtection="0"/>
    <xf numFmtId="0" fontId="71" fillId="75" borderId="38" applyNumberFormat="0" applyAlignment="0" applyProtection="0"/>
    <xf numFmtId="0" fontId="71" fillId="9" borderId="38" applyNumberFormat="0" applyAlignment="0" applyProtection="0"/>
    <xf numFmtId="169" fontId="69" fillId="0" borderId="40" applyNumberFormat="0" applyFill="0" applyAlignment="0" applyProtection="0"/>
    <xf numFmtId="0" fontId="69" fillId="0" borderId="40" applyNumberFormat="0" applyFill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44" fontId="2" fillId="0" borderId="32" applyFont="0" applyFill="0" applyBorder="0" applyAlignment="0" applyProtection="0"/>
    <xf numFmtId="44" fontId="2" fillId="0" borderId="32" applyFont="0" applyFill="0" applyBorder="0" applyAlignment="0" applyProtection="0"/>
    <xf numFmtId="44" fontId="2" fillId="0" borderId="32" applyFont="0" applyFill="0" applyBorder="0" applyAlignment="0" applyProtection="0"/>
    <xf numFmtId="44" fontId="2" fillId="0" borderId="32" applyFont="0" applyFill="0" applyBorder="0" applyAlignment="0" applyProtection="0"/>
    <xf numFmtId="168" fontId="60" fillId="0" borderId="32" applyFont="0" applyFill="0" applyBorder="0" applyAlignment="0" applyProtection="0"/>
    <xf numFmtId="44" fontId="2" fillId="0" borderId="32" applyFont="0" applyFill="0" applyBorder="0" applyAlignment="0" applyProtection="0"/>
    <xf numFmtId="168" fontId="7" fillId="0" borderId="32" applyFont="0" applyFill="0" applyBorder="0" applyAlignment="0" applyProtection="0"/>
    <xf numFmtId="168" fontId="7" fillId="0" borderId="32" applyFont="0" applyFill="0" applyBorder="0" applyAlignment="0" applyProtection="0"/>
    <xf numFmtId="169" fontId="33" fillId="89" borderId="32" applyNumberFormat="0" applyBorder="0" applyAlignment="0" applyProtection="0"/>
    <xf numFmtId="0" fontId="33" fillId="89" borderId="32" applyNumberFormat="0" applyBorder="0" applyAlignment="0" applyProtection="0"/>
    <xf numFmtId="169" fontId="50" fillId="121" borderId="32" applyNumberFormat="0" applyBorder="0" applyAlignment="0" applyProtection="0"/>
    <xf numFmtId="0" fontId="50" fillId="121" borderId="32" applyNumberFormat="0" applyBorder="0" applyAlignment="0" applyProtection="0"/>
    <xf numFmtId="0" fontId="33" fillId="89" borderId="32" applyNumberFormat="0" applyBorder="0" applyAlignment="0" applyProtection="0"/>
    <xf numFmtId="169" fontId="77" fillId="89" borderId="32" applyNumberFormat="0" applyBorder="0" applyAlignment="0" applyProtection="0"/>
    <xf numFmtId="169" fontId="33" fillId="89" borderId="32" applyNumberFormat="0" applyBorder="0" applyAlignment="0" applyProtection="0"/>
    <xf numFmtId="0" fontId="77" fillId="89" borderId="32" applyNumberFormat="0" applyBorder="0" applyAlignment="0" applyProtection="0"/>
    <xf numFmtId="0" fontId="77" fillId="89" borderId="32" applyNumberFormat="0" applyBorder="0" applyAlignment="0" applyProtection="0"/>
    <xf numFmtId="0" fontId="77" fillId="89" borderId="32" applyNumberFormat="0" applyBorder="0" applyAlignment="0" applyProtection="0"/>
    <xf numFmtId="169" fontId="76" fillId="89" borderId="32" applyNumberFormat="0" applyBorder="0" applyAlignment="0" applyProtection="0"/>
    <xf numFmtId="0" fontId="76" fillId="89" borderId="32" applyNumberFormat="0" applyBorder="0" applyAlignment="0" applyProtection="0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98" fillId="0" borderId="32"/>
    <xf numFmtId="0" fontId="98" fillId="0" borderId="32"/>
    <xf numFmtId="0" fontId="2" fillId="0" borderId="32"/>
    <xf numFmtId="169" fontId="2" fillId="0" borderId="32"/>
    <xf numFmtId="0" fontId="2" fillId="0" borderId="32"/>
    <xf numFmtId="0" fontId="98" fillId="0" borderId="32"/>
    <xf numFmtId="0" fontId="98" fillId="0" borderId="32"/>
    <xf numFmtId="0" fontId="98" fillId="0" borderId="32"/>
    <xf numFmtId="0" fontId="98" fillId="0" borderId="32"/>
    <xf numFmtId="0" fontId="98" fillId="0" borderId="32"/>
    <xf numFmtId="0" fontId="98" fillId="0" borderId="32"/>
    <xf numFmtId="0" fontId="98" fillId="0" borderId="32"/>
    <xf numFmtId="0" fontId="98" fillId="0" borderId="32"/>
    <xf numFmtId="0" fontId="98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169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60" fillId="0" borderId="32"/>
    <xf numFmtId="0" fontId="7" fillId="0" borderId="32"/>
    <xf numFmtId="0" fontId="7" fillId="0" borderId="32"/>
    <xf numFmtId="0" fontId="7" fillId="0" borderId="32"/>
    <xf numFmtId="0" fontId="2" fillId="0" borderId="32"/>
    <xf numFmtId="169" fontId="2" fillId="0" borderId="32"/>
    <xf numFmtId="0" fontId="2" fillId="0" borderId="32"/>
    <xf numFmtId="0" fontId="2" fillId="0" borderId="32"/>
    <xf numFmtId="0" fontId="2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169" fontId="7" fillId="0" borderId="32"/>
    <xf numFmtId="169" fontId="2" fillId="0" borderId="32"/>
    <xf numFmtId="0" fontId="2" fillId="0" borderId="32"/>
    <xf numFmtId="0" fontId="2" fillId="0" borderId="32"/>
    <xf numFmtId="169" fontId="2" fillId="0" borderId="32"/>
    <xf numFmtId="0" fontId="2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2" fillId="0" borderId="32"/>
    <xf numFmtId="0" fontId="7" fillId="0" borderId="32"/>
    <xf numFmtId="0" fontId="7" fillId="0" borderId="32"/>
    <xf numFmtId="0" fontId="60" fillId="0" borderId="32"/>
    <xf numFmtId="0" fontId="60" fillId="0" borderId="32"/>
    <xf numFmtId="0" fontId="7" fillId="0" borderId="32"/>
    <xf numFmtId="0" fontId="2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169" fontId="7" fillId="0" borderId="32"/>
    <xf numFmtId="0" fontId="7" fillId="0" borderId="32"/>
    <xf numFmtId="0" fontId="2" fillId="122" borderId="68" applyNumberFormat="0" applyFont="0" applyAlignment="0" applyProtection="0"/>
    <xf numFmtId="0" fontId="7" fillId="80" borderId="41" applyNumberFormat="0" applyFont="0" applyAlignment="0" applyProtection="0"/>
    <xf numFmtId="0" fontId="7" fillId="25" borderId="41" applyNumberFormat="0" applyFont="0" applyAlignment="0" applyProtection="0"/>
    <xf numFmtId="169" fontId="25" fillId="80" borderId="41" applyNumberFormat="0" applyFont="0" applyAlignment="0" applyProtection="0"/>
    <xf numFmtId="169" fontId="25" fillId="25" borderId="41" applyNumberFormat="0" applyFont="0" applyAlignment="0" applyProtection="0"/>
    <xf numFmtId="0" fontId="25" fillId="80" borderId="41" applyNumberFormat="0" applyFont="0" applyAlignment="0" applyProtection="0"/>
    <xf numFmtId="0" fontId="25" fillId="25" borderId="41" applyNumberFormat="0" applyFont="0" applyAlignment="0" applyProtection="0"/>
    <xf numFmtId="169" fontId="2" fillId="122" borderId="68" applyNumberFormat="0" applyFont="0" applyAlignment="0" applyProtection="0"/>
    <xf numFmtId="0" fontId="2" fillId="122" borderId="68" applyNumberFormat="0" applyFont="0" applyAlignment="0" applyProtection="0"/>
    <xf numFmtId="0" fontId="2" fillId="122" borderId="68" applyNumberFormat="0" applyFont="0" applyAlignment="0" applyProtection="0"/>
    <xf numFmtId="169" fontId="2" fillId="122" borderId="68" applyNumberFormat="0" applyFont="0" applyAlignment="0" applyProtection="0"/>
    <xf numFmtId="0" fontId="2" fillId="122" borderId="68" applyNumberFormat="0" applyFont="0" applyAlignment="0" applyProtection="0"/>
    <xf numFmtId="0" fontId="2" fillId="122" borderId="68" applyNumberFormat="0" applyFont="0" applyAlignment="0" applyProtection="0"/>
    <xf numFmtId="0" fontId="25" fillId="80" borderId="41" applyNumberFormat="0" applyFont="0" applyAlignment="0" applyProtection="0"/>
    <xf numFmtId="0" fontId="25" fillId="25" borderId="41" applyNumberFormat="0" applyFont="0" applyAlignment="0" applyProtection="0"/>
    <xf numFmtId="169" fontId="60" fillId="122" borderId="68" applyNumberFormat="0" applyFont="0" applyAlignment="0" applyProtection="0"/>
    <xf numFmtId="0" fontId="60" fillId="122" borderId="68" applyNumberFormat="0" applyFont="0" applyAlignment="0" applyProtection="0"/>
    <xf numFmtId="169" fontId="60" fillId="122" borderId="68" applyNumberFormat="0" applyFont="0" applyAlignment="0" applyProtection="0"/>
    <xf numFmtId="0" fontId="60" fillId="122" borderId="68" applyNumberFormat="0" applyFont="0" applyAlignment="0" applyProtection="0"/>
    <xf numFmtId="169" fontId="60" fillId="122" borderId="68" applyNumberFormat="0" applyFont="0" applyAlignment="0" applyProtection="0"/>
    <xf numFmtId="0" fontId="60" fillId="122" borderId="68" applyNumberFormat="0" applyFont="0" applyAlignment="0" applyProtection="0"/>
    <xf numFmtId="169" fontId="7" fillId="80" borderId="41" applyNumberFormat="0" applyFont="0" applyAlignment="0" applyProtection="0"/>
    <xf numFmtId="169" fontId="7" fillId="25" borderId="41" applyNumberFormat="0" applyFont="0" applyAlignment="0" applyProtection="0"/>
    <xf numFmtId="0" fontId="7" fillId="80" borderId="41" applyNumberFormat="0" applyFont="0" applyAlignment="0" applyProtection="0"/>
    <xf numFmtId="0" fontId="7" fillId="25" borderId="41" applyNumberFormat="0" applyFont="0" applyAlignment="0" applyProtection="0"/>
    <xf numFmtId="169" fontId="2" fillId="122" borderId="68" applyNumberFormat="0" applyFont="0" applyAlignment="0" applyProtection="0"/>
    <xf numFmtId="0" fontId="2" fillId="122" borderId="68" applyNumberFormat="0" applyFont="0" applyAlignment="0" applyProtection="0"/>
    <xf numFmtId="0" fontId="2" fillId="122" borderId="68" applyNumberFormat="0" applyFont="0" applyAlignment="0" applyProtection="0"/>
    <xf numFmtId="169" fontId="2" fillId="122" borderId="68" applyNumberFormat="0" applyFont="0" applyAlignment="0" applyProtection="0"/>
    <xf numFmtId="0" fontId="2" fillId="122" borderId="68" applyNumberFormat="0" applyFont="0" applyAlignment="0" applyProtection="0"/>
    <xf numFmtId="0" fontId="2" fillId="122" borderId="68" applyNumberFormat="0" applyFont="0" applyAlignment="0" applyProtection="0"/>
    <xf numFmtId="169" fontId="7" fillId="80" borderId="41" applyNumberFormat="0" applyFont="0" applyAlignment="0" applyProtection="0"/>
    <xf numFmtId="169" fontId="7" fillId="25" borderId="41" applyNumberFormat="0" applyFont="0" applyAlignment="0" applyProtection="0"/>
    <xf numFmtId="0" fontId="7" fillId="80" borderId="41" applyNumberFormat="0" applyFont="0" applyAlignment="0" applyProtection="0"/>
    <xf numFmtId="0" fontId="7" fillId="25" borderId="41" applyNumberFormat="0" applyFont="0" applyAlignment="0" applyProtection="0"/>
    <xf numFmtId="169" fontId="25" fillId="80" borderId="41" applyNumberFormat="0" applyFont="0" applyAlignment="0" applyProtection="0"/>
    <xf numFmtId="169" fontId="25" fillId="25" borderId="41" applyNumberFormat="0" applyFont="0" applyAlignment="0" applyProtection="0"/>
    <xf numFmtId="0" fontId="2" fillId="122" borderId="68" applyNumberFormat="0" applyFont="0" applyAlignment="0" applyProtection="0"/>
    <xf numFmtId="169" fontId="60" fillId="80" borderId="41" applyNumberFormat="0" applyFont="0" applyAlignment="0" applyProtection="0"/>
    <xf numFmtId="169" fontId="60" fillId="25" borderId="41" applyNumberFormat="0" applyFont="0" applyAlignment="0" applyProtection="0"/>
    <xf numFmtId="0" fontId="60" fillId="80" borderId="41" applyNumberFormat="0" applyFont="0" applyAlignment="0" applyProtection="0"/>
    <xf numFmtId="0" fontId="60" fillId="25" borderId="41" applyNumberFormat="0" applyFont="0" applyAlignment="0" applyProtection="0"/>
    <xf numFmtId="169" fontId="78" fillId="63" borderId="42" applyNumberFormat="0" applyAlignment="0" applyProtection="0"/>
    <xf numFmtId="169" fontId="78" fillId="18" borderId="42" applyNumberFormat="0" applyAlignment="0" applyProtection="0"/>
    <xf numFmtId="0" fontId="78" fillId="63" borderId="42" applyNumberFormat="0" applyAlignment="0" applyProtection="0"/>
    <xf numFmtId="0" fontId="78" fillId="18" borderId="42" applyNumberFormat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2" fillId="0" borderId="32" applyFont="0" applyFill="0" applyBorder="0" applyAlignment="0" applyProtection="0"/>
    <xf numFmtId="9" fontId="2" fillId="0" borderId="32" applyFont="0" applyFill="0" applyBorder="0" applyAlignment="0" applyProtection="0"/>
    <xf numFmtId="9" fontId="2" fillId="0" borderId="32" applyFont="0" applyFill="0" applyBorder="0" applyAlignment="0" applyProtection="0"/>
    <xf numFmtId="9" fontId="2" fillId="0" borderId="32" applyFont="0" applyFill="0" applyBorder="0" applyAlignment="0" applyProtection="0"/>
    <xf numFmtId="9" fontId="2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9" fontId="7" fillId="0" borderId="32" applyFont="0" applyFill="0" applyBorder="0" applyAlignment="0" applyProtection="0"/>
    <xf numFmtId="169" fontId="34" fillId="63" borderId="42" applyNumberFormat="0" applyAlignment="0" applyProtection="0"/>
    <xf numFmtId="169" fontId="34" fillId="18" borderId="42" applyNumberFormat="0" applyAlignment="0" applyProtection="0"/>
    <xf numFmtId="0" fontId="34" fillId="63" borderId="42" applyNumberFormat="0" applyAlignment="0" applyProtection="0"/>
    <xf numFmtId="0" fontId="34" fillId="18" borderId="42" applyNumberFormat="0" applyAlignment="0" applyProtection="0"/>
    <xf numFmtId="169" fontId="52" fillId="108" borderId="65" applyNumberFormat="0" applyAlignment="0" applyProtection="0"/>
    <xf numFmtId="0" fontId="52" fillId="108" borderId="65" applyNumberFormat="0" applyAlignment="0" applyProtection="0"/>
    <xf numFmtId="0" fontId="34" fillId="63" borderId="42" applyNumberFormat="0" applyAlignment="0" applyProtection="0"/>
    <xf numFmtId="0" fontId="34" fillId="18" borderId="42" applyNumberFormat="0" applyAlignment="0" applyProtection="0"/>
    <xf numFmtId="169" fontId="78" fillId="61" borderId="42" applyNumberFormat="0" applyAlignment="0" applyProtection="0"/>
    <xf numFmtId="169" fontId="78" fillId="57" borderId="42" applyNumberFormat="0" applyAlignment="0" applyProtection="0"/>
    <xf numFmtId="0" fontId="78" fillId="57" borderId="42" applyNumberFormat="0" applyAlignment="0" applyProtection="0"/>
    <xf numFmtId="169" fontId="34" fillId="63" borderId="42" applyNumberFormat="0" applyAlignment="0" applyProtection="0"/>
    <xf numFmtId="169" fontId="34" fillId="18" borderId="42" applyNumberFormat="0" applyAlignment="0" applyProtection="0"/>
    <xf numFmtId="0" fontId="78" fillId="61" borderId="42" applyNumberFormat="0" applyAlignment="0" applyProtection="0"/>
    <xf numFmtId="0" fontId="78" fillId="57" borderId="42" applyNumberFormat="0" applyAlignment="0" applyProtection="0"/>
    <xf numFmtId="0" fontId="78" fillId="61" borderId="42" applyNumberFormat="0" applyAlignment="0" applyProtection="0"/>
    <xf numFmtId="0" fontId="78" fillId="57" borderId="42" applyNumberFormat="0" applyAlignment="0" applyProtection="0"/>
    <xf numFmtId="0" fontId="78" fillId="61" borderId="42" applyNumberFormat="0" applyAlignment="0" applyProtection="0"/>
    <xf numFmtId="0" fontId="78" fillId="57" borderId="42" applyNumberFormat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9" fontId="35" fillId="0" borderId="32" applyNumberFormat="0" applyFill="0" applyBorder="0" applyAlignment="0" applyProtection="0"/>
    <xf numFmtId="0" fontId="35" fillId="0" borderId="32" applyNumberFormat="0" applyFill="0" applyBorder="0" applyAlignment="0" applyProtection="0"/>
    <xf numFmtId="169" fontId="56" fillId="0" borderId="32" applyNumberFormat="0" applyFill="0" applyBorder="0" applyAlignment="0" applyProtection="0"/>
    <xf numFmtId="0" fontId="56" fillId="0" borderId="32" applyNumberFormat="0" applyFill="0" applyBorder="0" applyAlignment="0" applyProtection="0"/>
    <xf numFmtId="0" fontId="35" fillId="0" borderId="32" applyNumberFormat="0" applyFill="0" applyBorder="0" applyAlignment="0" applyProtection="0"/>
    <xf numFmtId="169" fontId="70" fillId="0" borderId="32" applyNumberFormat="0" applyFill="0" applyBorder="0" applyAlignment="0" applyProtection="0"/>
    <xf numFmtId="169" fontId="35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0" fontId="70" fillId="0" borderId="32" applyNumberFormat="0" applyFill="0" applyBorder="0" applyAlignment="0" applyProtection="0"/>
    <xf numFmtId="169" fontId="36" fillId="0" borderId="32" applyNumberFormat="0" applyFill="0" applyBorder="0" applyAlignment="0" applyProtection="0"/>
    <xf numFmtId="0" fontId="36" fillId="0" borderId="32" applyNumberFormat="0" applyFill="0" applyBorder="0" applyAlignment="0" applyProtection="0"/>
    <xf numFmtId="169" fontId="57" fillId="0" borderId="32" applyNumberFormat="0" applyFill="0" applyBorder="0" applyAlignment="0" applyProtection="0"/>
    <xf numFmtId="0" fontId="57" fillId="0" borderId="32" applyNumberFormat="0" applyFill="0" applyBorder="0" applyAlignment="0" applyProtection="0"/>
    <xf numFmtId="0" fontId="36" fillId="0" borderId="32" applyNumberFormat="0" applyFill="0" applyBorder="0" applyAlignment="0" applyProtection="0"/>
    <xf numFmtId="169" fontId="72" fillId="0" borderId="32" applyNumberFormat="0" applyFill="0" applyBorder="0" applyAlignment="0" applyProtection="0"/>
    <xf numFmtId="169" fontId="36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0" fontId="72" fillId="0" borderId="32" applyNumberFormat="0" applyFill="0" applyBorder="0" applyAlignment="0" applyProtection="0"/>
    <xf numFmtId="169" fontId="111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169" fontId="38" fillId="0" borderId="43" applyNumberFormat="0" applyFill="0" applyAlignment="0" applyProtection="0"/>
    <xf numFmtId="0" fontId="38" fillId="0" borderId="43" applyNumberFormat="0" applyFill="0" applyAlignment="0" applyProtection="0"/>
    <xf numFmtId="169" fontId="45" fillId="0" borderId="61" applyNumberFormat="0" applyFill="0" applyAlignment="0" applyProtection="0"/>
    <xf numFmtId="0" fontId="45" fillId="0" borderId="61" applyNumberFormat="0" applyFill="0" applyAlignment="0" applyProtection="0"/>
    <xf numFmtId="0" fontId="38" fillId="0" borderId="43" applyNumberFormat="0" applyFill="0" applyAlignment="0" applyProtection="0"/>
    <xf numFmtId="169" fontId="79" fillId="0" borderId="71" applyNumberFormat="0" applyFill="0" applyAlignment="0" applyProtection="0"/>
    <xf numFmtId="169" fontId="38" fillId="0" borderId="43" applyNumberFormat="0" applyFill="0" applyAlignment="0" applyProtection="0"/>
    <xf numFmtId="0" fontId="79" fillId="0" borderId="71" applyNumberFormat="0" applyFill="0" applyAlignment="0" applyProtection="0"/>
    <xf numFmtId="0" fontId="79" fillId="0" borderId="71" applyNumberFormat="0" applyFill="0" applyAlignment="0" applyProtection="0"/>
    <xf numFmtId="0" fontId="79" fillId="0" borderId="71" applyNumberFormat="0" applyFill="0" applyAlignment="0" applyProtection="0"/>
    <xf numFmtId="0" fontId="112" fillId="0" borderId="32" applyNumberFormat="0" applyFill="0" applyBorder="0" applyAlignment="0" applyProtection="0"/>
    <xf numFmtId="0" fontId="112" fillId="0" borderId="32" applyNumberFormat="0" applyFill="0" applyBorder="0" applyAlignment="0" applyProtection="0"/>
    <xf numFmtId="0" fontId="112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169" fontId="39" fillId="0" borderId="44" applyNumberFormat="0" applyFill="0" applyAlignment="0" applyProtection="0"/>
    <xf numFmtId="0" fontId="39" fillId="0" borderId="44" applyNumberFormat="0" applyFill="0" applyAlignment="0" applyProtection="0"/>
    <xf numFmtId="169" fontId="46" fillId="0" borderId="62" applyNumberFormat="0" applyFill="0" applyAlignment="0" applyProtection="0"/>
    <xf numFmtId="0" fontId="46" fillId="0" borderId="62" applyNumberFormat="0" applyFill="0" applyAlignment="0" applyProtection="0"/>
    <xf numFmtId="0" fontId="39" fillId="0" borderId="44" applyNumberFormat="0" applyFill="0" applyAlignment="0" applyProtection="0"/>
    <xf numFmtId="169" fontId="81" fillId="0" borderId="72" applyNumberFormat="0" applyFill="0" applyAlignment="0" applyProtection="0"/>
    <xf numFmtId="169" fontId="39" fillId="0" borderId="44" applyNumberFormat="0" applyFill="0" applyAlignment="0" applyProtection="0"/>
    <xf numFmtId="0" fontId="81" fillId="0" borderId="72" applyNumberFormat="0" applyFill="0" applyAlignment="0" applyProtection="0"/>
    <xf numFmtId="0" fontId="81" fillId="0" borderId="72" applyNumberFormat="0" applyFill="0" applyAlignment="0" applyProtection="0"/>
    <xf numFmtId="0" fontId="81" fillId="0" borderId="72" applyNumberFormat="0" applyFill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169" fontId="40" fillId="0" borderId="45" applyNumberFormat="0" applyFill="0" applyAlignment="0" applyProtection="0"/>
    <xf numFmtId="0" fontId="40" fillId="0" borderId="45" applyNumberFormat="0" applyFill="0" applyAlignment="0" applyProtection="0"/>
    <xf numFmtId="169" fontId="47" fillId="0" borderId="107" applyNumberFormat="0" applyFill="0" applyAlignment="0" applyProtection="0"/>
    <xf numFmtId="0" fontId="47" fillId="0" borderId="107" applyNumberFormat="0" applyFill="0" applyAlignment="0" applyProtection="0"/>
    <xf numFmtId="0" fontId="40" fillId="0" borderId="45" applyNumberFormat="0" applyFill="0" applyAlignment="0" applyProtection="0"/>
    <xf numFmtId="169" fontId="82" fillId="0" borderId="73" applyNumberFormat="0" applyFill="0" applyAlignment="0" applyProtection="0"/>
    <xf numFmtId="169" fontId="40" fillId="0" borderId="45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37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169" fontId="40" fillId="0" borderId="32" applyNumberFormat="0" applyFill="0" applyBorder="0" applyAlignment="0" applyProtection="0"/>
    <xf numFmtId="0" fontId="40" fillId="0" borderId="32" applyNumberFormat="0" applyFill="0" applyBorder="0" applyAlignment="0" applyProtection="0"/>
    <xf numFmtId="169" fontId="47" fillId="0" borderId="32" applyNumberFormat="0" applyFill="0" applyBorder="0" applyAlignment="0" applyProtection="0"/>
    <xf numFmtId="0" fontId="47" fillId="0" borderId="32" applyNumberFormat="0" applyFill="0" applyBorder="0" applyAlignment="0" applyProtection="0"/>
    <xf numFmtId="0" fontId="40" fillId="0" borderId="32" applyNumberFormat="0" applyFill="0" applyBorder="0" applyAlignment="0" applyProtection="0"/>
    <xf numFmtId="169" fontId="82" fillId="0" borderId="32" applyNumberFormat="0" applyFill="0" applyBorder="0" applyAlignment="0" applyProtection="0"/>
    <xf numFmtId="169" fontId="40" fillId="0" borderId="32" applyNumberFormat="0" applyFill="0" applyBorder="0" applyAlignment="0" applyProtection="0"/>
    <xf numFmtId="0" fontId="82" fillId="0" borderId="32" applyNumberFormat="0" applyFill="0" applyBorder="0" applyAlignment="0" applyProtection="0"/>
    <xf numFmtId="0" fontId="82" fillId="0" borderId="32" applyNumberFormat="0" applyFill="0" applyBorder="0" applyAlignment="0" applyProtection="0"/>
    <xf numFmtId="0" fontId="82" fillId="0" borderId="32" applyNumberFormat="0" applyFill="0" applyBorder="0" applyAlignment="0" applyProtection="0"/>
    <xf numFmtId="169" fontId="111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169" fontId="113" fillId="0" borderId="32" applyNumberFormat="0" applyFill="0" applyBorder="0" applyAlignment="0" applyProtection="0"/>
    <xf numFmtId="0" fontId="113" fillId="0" borderId="32" applyNumberFormat="0" applyFill="0" applyBorder="0" applyAlignment="0" applyProtection="0"/>
    <xf numFmtId="0" fontId="111" fillId="0" borderId="32" applyNumberFormat="0" applyFill="0" applyBorder="0" applyAlignment="0" applyProtection="0"/>
    <xf numFmtId="169" fontId="112" fillId="0" borderId="32" applyNumberFormat="0" applyFill="0" applyBorder="0" applyAlignment="0" applyProtection="0"/>
    <xf numFmtId="169" fontId="111" fillId="0" borderId="32" applyNumberFormat="0" applyFill="0" applyBorder="0" applyAlignment="0" applyProtection="0"/>
    <xf numFmtId="0" fontId="113" fillId="0" borderId="32" applyNumberFormat="0" applyFill="0" applyBorder="0" applyAlignment="0" applyProtection="0"/>
    <xf numFmtId="0" fontId="113" fillId="0" borderId="32" applyNumberFormat="0" applyFill="0" applyBorder="0" applyAlignment="0" applyProtection="0"/>
    <xf numFmtId="169" fontId="41" fillId="0" borderId="46" applyNumberFormat="0" applyFill="0" applyAlignment="0" applyProtection="0"/>
    <xf numFmtId="169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169" fontId="58" fillId="0" borderId="69" applyNumberFormat="0" applyFill="0" applyAlignment="0" applyProtection="0"/>
    <xf numFmtId="0" fontId="58" fillId="0" borderId="69" applyNumberFormat="0" applyFill="0" applyAlignment="0" applyProtection="0"/>
    <xf numFmtId="0" fontId="41" fillId="0" borderId="46" applyNumberFormat="0" applyFill="0" applyAlignment="0" applyProtection="0"/>
    <xf numFmtId="0" fontId="41" fillId="0" borderId="46" applyNumberFormat="0" applyFill="0" applyAlignment="0" applyProtection="0"/>
    <xf numFmtId="169" fontId="61" fillId="0" borderId="46" applyNumberFormat="0" applyFill="0" applyAlignment="0" applyProtection="0"/>
    <xf numFmtId="169" fontId="61" fillId="0" borderId="46" applyNumberFormat="0" applyFill="0" applyAlignment="0" applyProtection="0"/>
    <xf numFmtId="0" fontId="61" fillId="0" borderId="46" applyNumberFormat="0" applyFill="0" applyAlignment="0" applyProtection="0"/>
    <xf numFmtId="169" fontId="41" fillId="0" borderId="46" applyNumberFormat="0" applyFill="0" applyAlignment="0" applyProtection="0"/>
    <xf numFmtId="169" fontId="4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2" fillId="0" borderId="32" applyFont="0" applyFill="0" applyBorder="0" applyAlignment="0" applyProtection="0"/>
    <xf numFmtId="43" fontId="2" fillId="0" borderId="32" applyFont="0" applyFill="0" applyBorder="0" applyAlignment="0" applyProtection="0"/>
    <xf numFmtId="43" fontId="2" fillId="0" borderId="32" applyFont="0" applyFill="0" applyBorder="0" applyAlignment="0" applyProtection="0"/>
    <xf numFmtId="43" fontId="2" fillId="0" borderId="32" applyFont="0" applyFill="0" applyBorder="0" applyAlignment="0" applyProtection="0"/>
    <xf numFmtId="43" fontId="2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167" fontId="7" fillId="0" borderId="32" applyFont="0" applyFill="0" applyBorder="0" applyAlignment="0" applyProtection="0"/>
    <xf numFmtId="43" fontId="2" fillId="0" borderId="32" applyFont="0" applyFill="0" applyBorder="0" applyAlignment="0" applyProtection="0"/>
    <xf numFmtId="43" fontId="2" fillId="0" borderId="32" applyFont="0" applyFill="0" applyBorder="0" applyAlignment="0" applyProtection="0"/>
    <xf numFmtId="43" fontId="2" fillId="0" borderId="32" applyFont="0" applyFill="0" applyBorder="0" applyAlignment="0" applyProtection="0"/>
    <xf numFmtId="43" fontId="2" fillId="0" borderId="32" applyFont="0" applyFill="0" applyBorder="0" applyAlignment="0" applyProtection="0"/>
    <xf numFmtId="167" fontId="7" fillId="0" borderId="32" applyFont="0" applyFill="0" applyBorder="0" applyAlignment="0" applyProtection="0"/>
    <xf numFmtId="169" fontId="70" fillId="0" borderId="32" applyNumberFormat="0" applyFill="0" applyBorder="0" applyAlignment="0" applyProtection="0"/>
    <xf numFmtId="0" fontId="70" fillId="0" borderId="32" applyNumberFormat="0" applyFill="0" applyBorder="0" applyAlignment="0" applyProtection="0"/>
  </cellStyleXfs>
  <cellXfs count="405">
    <xf numFmtId="0" fontId="0" fillId="0" borderId="0" xfId="0" applyFont="1" applyAlignment="1"/>
    <xf numFmtId="0" fontId="7" fillId="0" borderId="1" xfId="0" applyFont="1" applyBorder="1"/>
    <xf numFmtId="0" fontId="9" fillId="0" borderId="0" xfId="0" applyFont="1" applyAlignment="1">
      <alignment horizontal="left" vertical="center" wrapText="1"/>
    </xf>
    <xf numFmtId="0" fontId="7" fillId="0" borderId="2" xfId="0" applyFont="1" applyBorder="1"/>
    <xf numFmtId="0" fontId="12" fillId="0" borderId="0" xfId="0" applyFont="1" applyAlignment="1">
      <alignment vertical="center"/>
    </xf>
    <xf numFmtId="0" fontId="7" fillId="0" borderId="3" xfId="0" applyFont="1" applyBorder="1"/>
    <xf numFmtId="0" fontId="13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9" fillId="0" borderId="0" xfId="0" applyFont="1" applyAlignment="1">
      <alignment horizontal="center" vertical="center"/>
    </xf>
    <xf numFmtId="0" fontId="14" fillId="0" borderId="5" xfId="0" applyFont="1" applyBorder="1"/>
    <xf numFmtId="0" fontId="16" fillId="0" borderId="4" xfId="0" applyFont="1" applyBorder="1"/>
    <xf numFmtId="0" fontId="17" fillId="0" borderId="5" xfId="0" applyFont="1" applyBorder="1"/>
    <xf numFmtId="0" fontId="16" fillId="0" borderId="5" xfId="0" applyFont="1" applyBorder="1"/>
    <xf numFmtId="4" fontId="7" fillId="0" borderId="5" xfId="0" applyNumberFormat="1" applyFont="1" applyBorder="1"/>
    <xf numFmtId="10" fontId="18" fillId="0" borderId="5" xfId="0" applyNumberFormat="1" applyFont="1" applyBorder="1"/>
    <xf numFmtId="0" fontId="18" fillId="0" borderId="4" xfId="0" applyFont="1" applyBorder="1"/>
    <xf numFmtId="0" fontId="18" fillId="0" borderId="5" xfId="0" applyFont="1" applyBorder="1"/>
    <xf numFmtId="0" fontId="7" fillId="0" borderId="11" xfId="0" applyFont="1" applyBorder="1"/>
    <xf numFmtId="0" fontId="9" fillId="0" borderId="12" xfId="0" applyFont="1" applyBorder="1" applyAlignment="1">
      <alignment vertical="center"/>
    </xf>
    <xf numFmtId="0" fontId="10" fillId="0" borderId="12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10" fontId="7" fillId="0" borderId="13" xfId="0" applyNumberFormat="1" applyFont="1" applyBorder="1" applyAlignment="1">
      <alignment horizontal="center"/>
    </xf>
    <xf numFmtId="10" fontId="0" fillId="0" borderId="10" xfId="0" applyNumberFormat="1" applyFont="1" applyBorder="1"/>
    <xf numFmtId="0" fontId="7" fillId="0" borderId="14" xfId="0" applyFont="1" applyBorder="1"/>
    <xf numFmtId="10" fontId="0" fillId="0" borderId="13" xfId="0" applyNumberFormat="1" applyFont="1" applyBorder="1" applyAlignment="1">
      <alignment horizontal="center"/>
    </xf>
    <xf numFmtId="0" fontId="7" fillId="0" borderId="10" xfId="0" applyFont="1" applyBorder="1"/>
    <xf numFmtId="0" fontId="9" fillId="0" borderId="15" xfId="0" applyFont="1" applyBorder="1" applyAlignment="1">
      <alignment horizontal="center" vertical="center"/>
    </xf>
    <xf numFmtId="10" fontId="18" fillId="0" borderId="13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0" fontId="18" fillId="0" borderId="0" xfId="0" applyNumberFormat="1" applyFont="1" applyAlignment="1">
      <alignment horizontal="center"/>
    </xf>
    <xf numFmtId="4" fontId="9" fillId="0" borderId="15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17" xfId="0" applyFont="1" applyBorder="1"/>
    <xf numFmtId="0" fontId="7" fillId="0" borderId="25" xfId="0" applyFont="1" applyBorder="1"/>
    <xf numFmtId="0" fontId="20" fillId="0" borderId="5" xfId="0" applyFont="1" applyBorder="1"/>
    <xf numFmtId="0" fontId="7" fillId="0" borderId="28" xfId="0" applyFont="1" applyBorder="1"/>
    <xf numFmtId="0" fontId="20" fillId="0" borderId="29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7" fillId="0" borderId="31" xfId="0" applyFont="1" applyBorder="1"/>
    <xf numFmtId="0" fontId="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32" xfId="0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4" xfId="0" applyFont="1" applyBorder="1" applyAlignment="1">
      <alignment horizontal="left" vertical="center" wrapText="1"/>
    </xf>
    <xf numFmtId="0" fontId="19" fillId="2" borderId="35" xfId="0" applyFont="1" applyFill="1" applyBorder="1" applyAlignment="1">
      <alignment horizontal="center" vertical="center" wrapText="1"/>
    </xf>
    <xf numFmtId="4" fontId="9" fillId="0" borderId="34" xfId="0" applyNumberFormat="1" applyFont="1" applyBorder="1" applyAlignment="1">
      <alignment vertical="center"/>
    </xf>
    <xf numFmtId="4" fontId="9" fillId="0" borderId="34" xfId="0" applyNumberFormat="1" applyFont="1" applyBorder="1" applyAlignment="1">
      <alignment horizontal="center" vertical="center"/>
    </xf>
    <xf numFmtId="10" fontId="9" fillId="0" borderId="37" xfId="0" applyNumberFormat="1" applyFont="1" applyBorder="1" applyAlignment="1">
      <alignment horizontal="center" vertical="center"/>
    </xf>
    <xf numFmtId="10" fontId="9" fillId="0" borderId="36" xfId="0" applyNumberFormat="1" applyFont="1" applyBorder="1" applyAlignment="1">
      <alignment horizontal="center" vertical="center"/>
    </xf>
    <xf numFmtId="0" fontId="15" fillId="3" borderId="32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12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19" fillId="2" borderId="5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1" fillId="0" borderId="33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vertical="center"/>
    </xf>
    <xf numFmtId="4" fontId="12" fillId="0" borderId="33" xfId="0" applyNumberFormat="1" applyFont="1" applyBorder="1" applyAlignment="1">
      <alignment vertical="center"/>
    </xf>
    <xf numFmtId="10" fontId="12" fillId="0" borderId="33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64" fontId="12" fillId="0" borderId="51" xfId="0" applyNumberFormat="1" applyFont="1" applyBorder="1" applyAlignment="1">
      <alignment vertical="center"/>
    </xf>
    <xf numFmtId="0" fontId="9" fillId="0" borderId="52" xfId="0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left" vertical="center" wrapText="1"/>
    </xf>
    <xf numFmtId="10" fontId="9" fillId="0" borderId="32" xfId="0" applyNumberFormat="1" applyFont="1" applyBorder="1" applyAlignment="1">
      <alignment horizontal="center" vertical="center"/>
    </xf>
    <xf numFmtId="4" fontId="9" fillId="0" borderId="32" xfId="0" applyNumberFormat="1" applyFont="1" applyBorder="1" applyAlignment="1">
      <alignment vertical="center"/>
    </xf>
    <xf numFmtId="17" fontId="9" fillId="0" borderId="37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165" fontId="9" fillId="0" borderId="37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left" vertical="center"/>
    </xf>
    <xf numFmtId="4" fontId="9" fillId="0" borderId="32" xfId="0" applyNumberFormat="1" applyFont="1" applyBorder="1" applyAlignment="1">
      <alignment horizontal="left" vertical="center"/>
    </xf>
    <xf numFmtId="4" fontId="9" fillId="0" borderId="55" xfId="0" applyNumberFormat="1" applyFont="1" applyBorder="1" applyAlignment="1">
      <alignment vertical="center"/>
    </xf>
    <xf numFmtId="0" fontId="19" fillId="2" borderId="32" xfId="0" applyFont="1" applyFill="1" applyBorder="1" applyAlignment="1">
      <alignment horizontal="center" vertical="center" wrapText="1"/>
    </xf>
    <xf numFmtId="4" fontId="19" fillId="2" borderId="32" xfId="0" applyNumberFormat="1" applyFont="1" applyFill="1" applyBorder="1" applyAlignment="1">
      <alignment horizontal="center" vertical="center" wrapText="1"/>
    </xf>
    <xf numFmtId="4" fontId="19" fillId="2" borderId="37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 wrapText="1"/>
    </xf>
    <xf numFmtId="4" fontId="9" fillId="3" borderId="12" xfId="0" applyNumberFormat="1" applyFont="1" applyFill="1" applyBorder="1" applyAlignment="1">
      <alignment vertical="center"/>
    </xf>
    <xf numFmtId="4" fontId="9" fillId="3" borderId="12" xfId="0" applyNumberFormat="1" applyFont="1" applyFill="1" applyBorder="1" applyAlignment="1">
      <alignment horizontal="center" vertical="center"/>
    </xf>
    <xf numFmtId="10" fontId="15" fillId="3" borderId="57" xfId="0" applyNumberFormat="1" applyFont="1" applyFill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0" fontId="9" fillId="3" borderId="32" xfId="0" applyFont="1" applyFill="1" applyBorder="1" applyAlignment="1">
      <alignment vertical="center"/>
    </xf>
    <xf numFmtId="0" fontId="9" fillId="3" borderId="32" xfId="0" applyFont="1" applyFill="1" applyBorder="1" applyAlignment="1">
      <alignment horizontal="left" vertical="center" wrapText="1"/>
    </xf>
    <xf numFmtId="4" fontId="9" fillId="3" borderId="32" xfId="0" applyNumberFormat="1" applyFont="1" applyFill="1" applyBorder="1" applyAlignment="1">
      <alignment vertical="center"/>
    </xf>
    <xf numFmtId="4" fontId="9" fillId="3" borderId="32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vertical="center"/>
    </xf>
    <xf numFmtId="0" fontId="9" fillId="2" borderId="60" xfId="0" applyFont="1" applyFill="1" applyBorder="1" applyAlignment="1">
      <alignment horizontal="left" vertical="center" wrapText="1"/>
    </xf>
    <xf numFmtId="4" fontId="9" fillId="2" borderId="60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right" vertical="center"/>
    </xf>
    <xf numFmtId="4" fontId="15" fillId="2" borderId="60" xfId="0" applyNumberFormat="1" applyFont="1" applyFill="1" applyBorder="1" applyAlignment="1">
      <alignment horizontal="center" vertical="center"/>
    </xf>
    <xf numFmtId="165" fontId="15" fillId="2" borderId="6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1" fillId="0" borderId="34" xfId="0" applyFont="1" applyBorder="1" applyAlignment="1">
      <alignment vertical="center"/>
    </xf>
    <xf numFmtId="0" fontId="0" fillId="0" borderId="0" xfId="0" applyFont="1" applyAlignment="1"/>
    <xf numFmtId="0" fontId="9" fillId="0" borderId="32" xfId="0" applyFont="1" applyFill="1" applyBorder="1" applyAlignment="1">
      <alignment horizontal="left" vertical="center" wrapText="1"/>
    </xf>
    <xf numFmtId="0" fontId="83" fillId="2" borderId="60" xfId="0" applyFont="1" applyFill="1" applyBorder="1" applyAlignment="1">
      <alignment horizontal="right" vertical="center"/>
    </xf>
    <xf numFmtId="0" fontId="15" fillId="60" borderId="32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7" fillId="0" borderId="32" xfId="1331" applyFont="1" applyAlignment="1">
      <alignment vertical="center"/>
    </xf>
    <xf numFmtId="49" fontId="7" fillId="0" borderId="32" xfId="1331" applyNumberFormat="1" applyFont="1" applyAlignment="1">
      <alignment vertical="center"/>
    </xf>
    <xf numFmtId="0" fontId="7" fillId="0" borderId="32" xfId="1331" applyFont="1" applyAlignment="1">
      <alignment horizontal="center" vertical="center"/>
    </xf>
    <xf numFmtId="0" fontId="7" fillId="0" borderId="32" xfId="1331" applyFont="1" applyAlignment="1">
      <alignment horizontal="justify" vertical="center"/>
    </xf>
    <xf numFmtId="2" fontId="7" fillId="0" borderId="32" xfId="1331" applyNumberFormat="1" applyFont="1" applyAlignment="1">
      <alignment horizontal="center" vertical="center"/>
    </xf>
    <xf numFmtId="0" fontId="7" fillId="0" borderId="32" xfId="73" applyFont="1"/>
    <xf numFmtId="0" fontId="7" fillId="0" borderId="32" xfId="73" applyFont="1" applyAlignment="1">
      <alignment vertical="center"/>
    </xf>
    <xf numFmtId="0" fontId="85" fillId="0" borderId="32" xfId="1331" applyFont="1" applyAlignment="1">
      <alignment vertical="center"/>
    </xf>
    <xf numFmtId="49" fontId="87" fillId="63" borderId="74" xfId="1332" applyNumberFormat="1" applyFont="1" applyFill="1" applyBorder="1" applyAlignment="1">
      <alignment horizontal="center" vertical="center" wrapText="1"/>
    </xf>
    <xf numFmtId="0" fontId="87" fillId="63" borderId="75" xfId="1332" applyFont="1" applyFill="1" applyBorder="1" applyAlignment="1">
      <alignment horizontal="center" vertical="center" wrapText="1"/>
    </xf>
    <xf numFmtId="0" fontId="88" fillId="63" borderId="75" xfId="1331" applyFont="1" applyFill="1" applyBorder="1" applyAlignment="1">
      <alignment horizontal="center" vertical="center" wrapText="1"/>
    </xf>
    <xf numFmtId="0" fontId="88" fillId="63" borderId="76" xfId="1331" applyFont="1" applyFill="1" applyBorder="1" applyAlignment="1">
      <alignment horizontal="center" vertical="center" wrapText="1"/>
    </xf>
    <xf numFmtId="0" fontId="85" fillId="0" borderId="32" xfId="73" applyFont="1"/>
    <xf numFmtId="49" fontId="87" fillId="63" borderId="77" xfId="1332" applyNumberFormat="1" applyFont="1" applyFill="1" applyBorder="1" applyAlignment="1">
      <alignment horizontal="center" vertical="center"/>
    </xf>
    <xf numFmtId="0" fontId="89" fillId="63" borderId="78" xfId="1332" applyFont="1" applyFill="1" applyBorder="1" applyAlignment="1">
      <alignment horizontal="center" vertical="center"/>
    </xf>
    <xf numFmtId="43" fontId="90" fillId="64" borderId="78" xfId="1334" applyFont="1" applyFill="1" applyBorder="1" applyAlignment="1">
      <alignment vertical="center"/>
    </xf>
    <xf numFmtId="43" fontId="91" fillId="64" borderId="78" xfId="1334" applyFont="1" applyFill="1" applyBorder="1" applyAlignment="1">
      <alignment vertical="center"/>
    </xf>
    <xf numFmtId="43" fontId="91" fillId="64" borderId="79" xfId="1334" applyFont="1" applyFill="1" applyBorder="1" applyAlignment="1">
      <alignment vertical="center"/>
    </xf>
    <xf numFmtId="49" fontId="89" fillId="0" borderId="80" xfId="1332" applyNumberFormat="1" applyFont="1" applyFill="1" applyBorder="1" applyAlignment="1">
      <alignment horizontal="center" vertical="center"/>
    </xf>
    <xf numFmtId="0" fontId="89" fillId="0" borderId="81" xfId="1332" applyFont="1" applyFill="1" applyBorder="1" applyAlignment="1">
      <alignment horizontal="center" vertical="center"/>
    </xf>
    <xf numFmtId="43" fontId="90" fillId="0" borderId="81" xfId="1334" applyFont="1" applyBorder="1" applyAlignment="1">
      <alignment vertical="center"/>
    </xf>
    <xf numFmtId="43" fontId="90" fillId="62" borderId="81" xfId="1334" applyFont="1" applyFill="1" applyBorder="1" applyAlignment="1">
      <alignment vertical="center"/>
    </xf>
    <xf numFmtId="43" fontId="90" fillId="0" borderId="82" xfId="1334" applyFont="1" applyBorder="1" applyAlignment="1">
      <alignment vertical="center"/>
    </xf>
    <xf numFmtId="0" fontId="89" fillId="0" borderId="81" xfId="1332" applyFont="1" applyBorder="1" applyAlignment="1">
      <alignment horizontal="center" vertical="center"/>
    </xf>
    <xf numFmtId="49" fontId="87" fillId="63" borderId="80" xfId="1332" applyNumberFormat="1" applyFont="1" applyFill="1" applyBorder="1" applyAlignment="1">
      <alignment horizontal="center" vertical="center"/>
    </xf>
    <xf numFmtId="0" fontId="89" fillId="63" borderId="81" xfId="1332" applyFont="1" applyFill="1" applyBorder="1" applyAlignment="1">
      <alignment horizontal="center" vertical="center"/>
    </xf>
    <xf numFmtId="43" fontId="90" fillId="64" borderId="81" xfId="1334" applyFont="1" applyFill="1" applyBorder="1" applyAlignment="1">
      <alignment vertical="center"/>
    </xf>
    <xf numFmtId="43" fontId="90" fillId="64" borderId="82" xfId="1334" applyFont="1" applyFill="1" applyBorder="1" applyAlignment="1">
      <alignment vertical="center"/>
    </xf>
    <xf numFmtId="49" fontId="89" fillId="0" borderId="80" xfId="1332" applyNumberFormat="1" applyFont="1" applyBorder="1" applyAlignment="1">
      <alignment horizontal="center" vertical="center"/>
    </xf>
    <xf numFmtId="9" fontId="89" fillId="0" borderId="81" xfId="1332" applyNumberFormat="1" applyFont="1" applyBorder="1" applyAlignment="1">
      <alignment horizontal="center" vertical="center"/>
    </xf>
    <xf numFmtId="0" fontId="89" fillId="63" borderId="82" xfId="1332" applyFont="1" applyFill="1" applyBorder="1" applyAlignment="1">
      <alignment horizontal="center" vertical="center"/>
    </xf>
    <xf numFmtId="49" fontId="89" fillId="0" borderId="81" xfId="1332" applyNumberFormat="1" applyFont="1" applyBorder="1" applyAlignment="1">
      <alignment horizontal="center" vertical="center"/>
    </xf>
    <xf numFmtId="3" fontId="89" fillId="0" borderId="81" xfId="1332" applyNumberFormat="1" applyFont="1" applyBorder="1" applyAlignment="1">
      <alignment horizontal="center" vertical="center"/>
    </xf>
    <xf numFmtId="0" fontId="89" fillId="0" borderId="81" xfId="1332" applyNumberFormat="1" applyFont="1" applyBorder="1" applyAlignment="1">
      <alignment horizontal="center" vertical="center"/>
    </xf>
    <xf numFmtId="43" fontId="89" fillId="0" borderId="81" xfId="1332" applyNumberFormat="1" applyFont="1" applyBorder="1" applyAlignment="1">
      <alignment horizontal="center" vertical="center"/>
    </xf>
    <xf numFmtId="49" fontId="89" fillId="0" borderId="83" xfId="1332" applyNumberFormat="1" applyFont="1" applyFill="1" applyBorder="1" applyAlignment="1">
      <alignment horizontal="center" vertical="center"/>
    </xf>
    <xf numFmtId="0" fontId="89" fillId="0" borderId="84" xfId="1332" applyFont="1" applyBorder="1" applyAlignment="1">
      <alignment horizontal="center" vertical="center"/>
    </xf>
    <xf numFmtId="43" fontId="90" fillId="0" borderId="84" xfId="1334" applyFont="1" applyBorder="1" applyAlignment="1">
      <alignment vertical="center"/>
    </xf>
    <xf numFmtId="0" fontId="89" fillId="65" borderId="85" xfId="1332" applyFont="1" applyFill="1" applyBorder="1" applyAlignment="1">
      <alignment vertical="center" wrapText="1"/>
    </xf>
    <xf numFmtId="0" fontId="89" fillId="65" borderId="54" xfId="1332" applyFont="1" applyFill="1" applyBorder="1" applyAlignment="1">
      <alignment vertical="center" wrapText="1"/>
    </xf>
    <xf numFmtId="0" fontId="94" fillId="65" borderId="54" xfId="73" applyFont="1" applyFill="1" applyBorder="1" applyAlignment="1">
      <alignment vertical="center"/>
    </xf>
    <xf numFmtId="4" fontId="87" fillId="65" borderId="54" xfId="1334" applyNumberFormat="1" applyFont="1" applyFill="1" applyBorder="1" applyAlignment="1">
      <alignment vertical="center"/>
    </xf>
    <xf numFmtId="0" fontId="91" fillId="65" borderId="54" xfId="1331" applyFont="1" applyFill="1" applyBorder="1" applyAlignment="1">
      <alignment vertical="center"/>
    </xf>
    <xf numFmtId="44" fontId="91" fillId="65" borderId="54" xfId="1335" applyFont="1" applyFill="1" applyBorder="1" applyAlignment="1">
      <alignment vertical="center"/>
    </xf>
    <xf numFmtId="0" fontId="95" fillId="66" borderId="85" xfId="73" applyFont="1" applyFill="1" applyBorder="1" applyAlignment="1">
      <alignment vertical="center"/>
    </xf>
    <xf numFmtId="0" fontId="95" fillId="66" borderId="54" xfId="73" applyFont="1" applyFill="1" applyBorder="1" applyAlignment="1">
      <alignment vertical="center"/>
    </xf>
    <xf numFmtId="0" fontId="85" fillId="66" borderId="54" xfId="1331" applyFont="1" applyFill="1" applyBorder="1" applyAlignment="1">
      <alignment vertical="center"/>
    </xf>
    <xf numFmtId="0" fontId="85" fillId="66" borderId="34" xfId="1331" applyFont="1" applyFill="1" applyBorder="1" applyAlignment="1">
      <alignment vertical="center"/>
    </xf>
    <xf numFmtId="0" fontId="88" fillId="66" borderId="54" xfId="1331" applyFont="1" applyFill="1" applyBorder="1" applyAlignment="1">
      <alignment horizontal="center" vertical="center"/>
    </xf>
    <xf numFmtId="0" fontId="85" fillId="66" borderId="86" xfId="1331" applyFont="1" applyFill="1" applyBorder="1" applyAlignment="1">
      <alignment vertical="center"/>
    </xf>
    <xf numFmtId="43" fontId="7" fillId="0" borderId="32" xfId="1334" applyFont="1"/>
    <xf numFmtId="0" fontId="7" fillId="0" borderId="32" xfId="1331" applyFont="1" applyAlignment="1">
      <alignment horizontal="left" vertical="top" wrapText="1"/>
    </xf>
    <xf numFmtId="0" fontId="86" fillId="62" borderId="32" xfId="1333" applyNumberFormat="1" applyFont="1" applyFill="1" applyBorder="1" applyAlignment="1">
      <alignment horizontal="left" vertical="top" wrapText="1"/>
    </xf>
    <xf numFmtId="0" fontId="87" fillId="63" borderId="75" xfId="1332" applyFont="1" applyFill="1" applyBorder="1" applyAlignment="1">
      <alignment horizontal="left" vertical="top" wrapText="1"/>
    </xf>
    <xf numFmtId="0" fontId="87" fillId="63" borderId="78" xfId="1332" applyFont="1" applyFill="1" applyBorder="1" applyAlignment="1">
      <alignment horizontal="left" vertical="top" wrapText="1"/>
    </xf>
    <xf numFmtId="0" fontId="89" fillId="0" borderId="81" xfId="1332" applyFont="1" applyFill="1" applyBorder="1" applyAlignment="1">
      <alignment horizontal="left" vertical="top" wrapText="1"/>
    </xf>
    <xf numFmtId="0" fontId="89" fillId="61" borderId="81" xfId="1332" applyFont="1" applyFill="1" applyBorder="1" applyAlignment="1">
      <alignment horizontal="left" vertical="top" wrapText="1"/>
    </xf>
    <xf numFmtId="0" fontId="89" fillId="0" borderId="81" xfId="1332" applyFont="1" applyBorder="1" applyAlignment="1">
      <alignment horizontal="left" vertical="top" wrapText="1"/>
    </xf>
    <xf numFmtId="0" fontId="87" fillId="63" borderId="81" xfId="1332" applyFont="1" applyFill="1" applyBorder="1" applyAlignment="1">
      <alignment horizontal="left" vertical="top" wrapText="1"/>
    </xf>
    <xf numFmtId="0" fontId="89" fillId="61" borderId="84" xfId="1332" applyFont="1" applyFill="1" applyBorder="1" applyAlignment="1">
      <alignment horizontal="left" vertical="top" wrapText="1"/>
    </xf>
    <xf numFmtId="0" fontId="89" fillId="65" borderId="54" xfId="1332" applyFont="1" applyFill="1" applyBorder="1" applyAlignment="1">
      <alignment horizontal="left" vertical="top" wrapText="1"/>
    </xf>
    <xf numFmtId="0" fontId="95" fillId="66" borderId="54" xfId="73" applyFont="1" applyFill="1" applyBorder="1" applyAlignment="1">
      <alignment horizontal="left" vertical="top" wrapText="1"/>
    </xf>
    <xf numFmtId="0" fontId="7" fillId="67" borderId="32" xfId="1331" applyFont="1" applyFill="1" applyAlignment="1">
      <alignment vertical="center"/>
    </xf>
    <xf numFmtId="49" fontId="89" fillId="67" borderId="83" xfId="1332" applyNumberFormat="1" applyFont="1" applyFill="1" applyBorder="1" applyAlignment="1">
      <alignment horizontal="center" vertical="center"/>
    </xf>
    <xf numFmtId="0" fontId="89" fillId="67" borderId="84" xfId="1332" applyFont="1" applyFill="1" applyBorder="1" applyAlignment="1">
      <alignment horizontal="center" vertical="center"/>
    </xf>
    <xf numFmtId="0" fontId="89" fillId="67" borderId="84" xfId="1332" applyFont="1" applyFill="1" applyBorder="1" applyAlignment="1">
      <alignment horizontal="left" vertical="top" wrapText="1"/>
    </xf>
    <xf numFmtId="43" fontId="90" fillId="67" borderId="84" xfId="1334" applyFont="1" applyFill="1" applyBorder="1" applyAlignment="1">
      <alignment vertical="center"/>
    </xf>
    <xf numFmtId="43" fontId="90" fillId="67" borderId="81" xfId="1334" applyFont="1" applyFill="1" applyBorder="1" applyAlignment="1">
      <alignment vertical="center"/>
    </xf>
    <xf numFmtId="43" fontId="90" fillId="67" borderId="82" xfId="1334" applyFont="1" applyFill="1" applyBorder="1" applyAlignment="1">
      <alignment vertical="center"/>
    </xf>
    <xf numFmtId="0" fontId="7" fillId="67" borderId="32" xfId="73" applyFont="1" applyFill="1"/>
    <xf numFmtId="0" fontId="0" fillId="0" borderId="0" xfId="0" applyFont="1" applyAlignment="1">
      <alignment vertical="top" wrapText="1"/>
    </xf>
    <xf numFmtId="43" fontId="12" fillId="0" borderId="33" xfId="1330" applyFont="1" applyBorder="1" applyAlignment="1">
      <alignment vertical="center"/>
    </xf>
    <xf numFmtId="43" fontId="9" fillId="0" borderId="32" xfId="1330" applyFont="1" applyBorder="1" applyAlignment="1">
      <alignment horizontal="right" vertical="center"/>
    </xf>
    <xf numFmtId="43" fontId="9" fillId="0" borderId="34" xfId="1330" applyFont="1" applyBorder="1" applyAlignment="1">
      <alignment vertical="center"/>
    </xf>
    <xf numFmtId="43" fontId="19" fillId="2" borderId="32" xfId="1330" applyFont="1" applyFill="1" applyBorder="1" applyAlignment="1">
      <alignment horizontal="center" vertical="center" wrapText="1"/>
    </xf>
    <xf numFmtId="43" fontId="9" fillId="3" borderId="12" xfId="1330" applyFont="1" applyFill="1" applyBorder="1" applyAlignment="1">
      <alignment vertical="center"/>
    </xf>
    <xf numFmtId="43" fontId="9" fillId="0" borderId="32" xfId="1330" applyFont="1" applyFill="1" applyBorder="1" applyAlignment="1">
      <alignment horizontal="center" vertical="center"/>
    </xf>
    <xf numFmtId="43" fontId="9" fillId="0" borderId="15" xfId="1330" applyFont="1" applyBorder="1" applyAlignment="1">
      <alignment horizontal="center" vertical="center"/>
    </xf>
    <xf numFmtId="43" fontId="9" fillId="3" borderId="32" xfId="1330" applyFont="1" applyFill="1" applyBorder="1" applyAlignment="1">
      <alignment vertical="center"/>
    </xf>
    <xf numFmtId="43" fontId="9" fillId="2" borderId="60" xfId="1330" applyFont="1" applyFill="1" applyBorder="1" applyAlignment="1">
      <alignment vertical="center"/>
    </xf>
    <xf numFmtId="43" fontId="9" fillId="0" borderId="0" xfId="1330" applyFont="1" applyAlignment="1">
      <alignment vertical="center"/>
    </xf>
    <xf numFmtId="43" fontId="0" fillId="0" borderId="0" xfId="1330" applyFont="1" applyAlignment="1"/>
    <xf numFmtId="0" fontId="100" fillId="0" borderId="32" xfId="0" applyFont="1" applyBorder="1" applyAlignment="1">
      <alignment horizontal="left" vertical="center" wrapText="1"/>
    </xf>
    <xf numFmtId="0" fontId="21" fillId="67" borderId="87" xfId="0" applyFont="1" applyFill="1" applyBorder="1" applyAlignment="1">
      <alignment vertical="top" wrapText="1"/>
    </xf>
    <xf numFmtId="0" fontId="0" fillId="68" borderId="87" xfId="0" applyFont="1" applyFill="1" applyBorder="1" applyAlignment="1"/>
    <xf numFmtId="0" fontId="0" fillId="68" borderId="87" xfId="0" applyFont="1" applyFill="1" applyBorder="1" applyAlignment="1">
      <alignment wrapText="1"/>
    </xf>
    <xf numFmtId="0" fontId="21" fillId="0" borderId="0" xfId="0" applyFont="1" applyAlignment="1">
      <alignment vertical="top" wrapText="1"/>
    </xf>
    <xf numFmtId="43" fontId="0" fillId="0" borderId="0" xfId="1330" applyFont="1" applyAlignment="1">
      <alignment vertical="center" wrapText="1"/>
    </xf>
    <xf numFmtId="0" fontId="0" fillId="67" borderId="8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3" fontId="24" fillId="0" borderId="0" xfId="133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5" fillId="0" borderId="32" xfId="0" applyFont="1" applyBorder="1" applyAlignment="1">
      <alignment horizontal="left" vertical="center" wrapText="1"/>
    </xf>
    <xf numFmtId="44" fontId="12" fillId="0" borderId="33" xfId="1499" applyNumberFormat="1" applyFont="1" applyBorder="1" applyAlignment="1">
      <alignment vertical="center"/>
    </xf>
    <xf numFmtId="44" fontId="9" fillId="0" borderId="32" xfId="1499" applyNumberFormat="1" applyFont="1" applyBorder="1" applyAlignment="1">
      <alignment horizontal="right" vertical="center"/>
    </xf>
    <xf numFmtId="44" fontId="15" fillId="0" borderId="32" xfId="1499" applyNumberFormat="1" applyFont="1" applyBorder="1" applyAlignment="1">
      <alignment horizontal="right" vertical="center"/>
    </xf>
    <xf numFmtId="44" fontId="9" fillId="0" borderId="34" xfId="1499" applyNumberFormat="1" applyFont="1" applyBorder="1" applyAlignment="1">
      <alignment vertical="center"/>
    </xf>
    <xf numFmtId="44" fontId="19" fillId="2" borderId="32" xfId="1499" applyNumberFormat="1" applyFont="1" applyFill="1" applyBorder="1" applyAlignment="1">
      <alignment horizontal="center" vertical="center" wrapText="1"/>
    </xf>
    <xf numFmtId="44" fontId="15" fillId="3" borderId="12" xfId="1499" applyNumberFormat="1" applyFont="1" applyFill="1" applyBorder="1" applyAlignment="1">
      <alignment horizontal="center" vertical="center"/>
    </xf>
    <xf numFmtId="44" fontId="9" fillId="0" borderId="32" xfId="1499" applyNumberFormat="1" applyFont="1" applyBorder="1" applyAlignment="1">
      <alignment horizontal="center" vertical="center"/>
    </xf>
    <xf numFmtId="44" fontId="9" fillId="0" borderId="15" xfId="1499" applyNumberFormat="1" applyFont="1" applyBorder="1" applyAlignment="1">
      <alignment horizontal="center" vertical="center"/>
    </xf>
    <xf numFmtId="44" fontId="15" fillId="3" borderId="32" xfId="1499" applyNumberFormat="1" applyFont="1" applyFill="1" applyBorder="1" applyAlignment="1">
      <alignment horizontal="center" vertical="center"/>
    </xf>
    <xf numFmtId="44" fontId="11" fillId="2" borderId="60" xfId="1499" applyNumberFormat="1" applyFont="1" applyFill="1" applyBorder="1" applyAlignment="1">
      <alignment horizontal="center" vertical="center"/>
    </xf>
    <xf numFmtId="44" fontId="9" fillId="0" borderId="0" xfId="1499" applyNumberFormat="1" applyFont="1" applyAlignment="1">
      <alignment vertical="center"/>
    </xf>
    <xf numFmtId="44" fontId="0" fillId="0" borderId="0" xfId="1499" applyNumberFormat="1" applyFont="1" applyAlignment="1"/>
    <xf numFmtId="0" fontId="11" fillId="0" borderId="50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19" fillId="2" borderId="52" xfId="0" applyFont="1" applyFill="1" applyBorder="1" applyAlignment="1">
      <alignment horizontal="right" vertical="center" wrapText="1"/>
    </xf>
    <xf numFmtId="0" fontId="15" fillId="3" borderId="56" xfId="0" applyNumberFormat="1" applyFont="1" applyFill="1" applyBorder="1" applyAlignment="1">
      <alignment horizontal="right" vertical="center"/>
    </xf>
    <xf numFmtId="0" fontId="9" fillId="0" borderId="52" xfId="0" applyNumberFormat="1" applyFont="1" applyBorder="1" applyAlignment="1">
      <alignment horizontal="right" vertical="center"/>
    </xf>
    <xf numFmtId="0" fontId="9" fillId="0" borderId="58" xfId="0" applyNumberFormat="1" applyFont="1" applyBorder="1" applyAlignment="1">
      <alignment horizontal="right" vertical="center"/>
    </xf>
    <xf numFmtId="0" fontId="15" fillId="3" borderId="52" xfId="0" applyNumberFormat="1" applyFont="1" applyFill="1" applyBorder="1" applyAlignment="1">
      <alignment horizontal="right" vertical="center"/>
    </xf>
    <xf numFmtId="0" fontId="9" fillId="2" borderId="59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32" xfId="0" applyFont="1" applyFill="1" applyBorder="1" applyAlignment="1">
      <alignment wrapText="1"/>
    </xf>
    <xf numFmtId="43" fontId="9" fillId="0" borderId="32" xfId="1330" applyFont="1" applyBorder="1" applyAlignment="1">
      <alignment horizontal="center" vertical="center"/>
    </xf>
    <xf numFmtId="4" fontId="9" fillId="0" borderId="3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vertical="center" wrapText="1"/>
    </xf>
    <xf numFmtId="4" fontId="9" fillId="0" borderId="32" xfId="0" applyNumberFormat="1" applyFont="1" applyBorder="1" applyAlignment="1">
      <alignment horizontal="center" vertical="center" wrapText="1"/>
    </xf>
    <xf numFmtId="4" fontId="9" fillId="69" borderId="85" xfId="0" applyNumberFormat="1" applyFont="1" applyFill="1" applyBorder="1" applyAlignment="1">
      <alignment horizontal="center" vertical="center" wrapText="1"/>
    </xf>
    <xf numFmtId="4" fontId="9" fillId="69" borderId="86" xfId="0" applyNumberFormat="1" applyFont="1" applyFill="1" applyBorder="1" applyAlignment="1">
      <alignment horizontal="center" vertical="center" wrapText="1"/>
    </xf>
    <xf numFmtId="4" fontId="9" fillId="0" borderId="86" xfId="0" applyNumberFormat="1" applyFont="1" applyFill="1" applyBorder="1" applyAlignment="1">
      <alignment horizontal="center" vertical="center" wrapText="1"/>
    </xf>
    <xf numFmtId="4" fontId="9" fillId="0" borderId="85" xfId="0" applyNumberFormat="1" applyFont="1" applyFill="1" applyBorder="1" applyAlignment="1">
      <alignment horizontal="center" vertical="center" wrapText="1"/>
    </xf>
    <xf numFmtId="43" fontId="9" fillId="3" borderId="12" xfId="1330" applyFont="1" applyFill="1" applyBorder="1" applyAlignment="1">
      <alignment vertical="center" wrapText="1"/>
    </xf>
    <xf numFmtId="43" fontId="9" fillId="0" borderId="15" xfId="1330" applyFont="1" applyBorder="1" applyAlignment="1">
      <alignment horizontal="center" vertical="center" wrapText="1"/>
    </xf>
    <xf numFmtId="43" fontId="9" fillId="3" borderId="32" xfId="1330" applyFont="1" applyFill="1" applyBorder="1" applyAlignment="1">
      <alignment vertical="center" wrapText="1"/>
    </xf>
    <xf numFmtId="43" fontId="9" fillId="0" borderId="32" xfId="1330" applyFont="1" applyFill="1" applyBorder="1" applyAlignment="1">
      <alignment horizontal="center" vertical="center" wrapText="1"/>
    </xf>
    <xf numFmtId="43" fontId="9" fillId="0" borderId="32" xfId="1330" applyFont="1" applyBorder="1" applyAlignment="1">
      <alignment horizontal="center" vertical="center" wrapText="1"/>
    </xf>
    <xf numFmtId="43" fontId="0" fillId="0" borderId="0" xfId="1330" applyFont="1" applyAlignment="1">
      <alignment wrapText="1"/>
    </xf>
    <xf numFmtId="43" fontId="0" fillId="0" borderId="0" xfId="1330" applyFont="1" applyAlignment="1">
      <alignment vertical="top" wrapText="1"/>
    </xf>
    <xf numFmtId="43" fontId="21" fillId="67" borderId="87" xfId="1330" applyFont="1" applyFill="1" applyBorder="1" applyAlignment="1">
      <alignment vertical="top" wrapText="1"/>
    </xf>
    <xf numFmtId="43" fontId="21" fillId="0" borderId="0" xfId="1330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49" fontId="101" fillId="0" borderId="88" xfId="1500" applyNumberFormat="1" applyFont="1" applyBorder="1" applyAlignment="1">
      <alignment horizontal="left" vertical="center"/>
    </xf>
    <xf numFmtId="0" fontId="102" fillId="0" borderId="89" xfId="1500" applyFont="1" applyBorder="1" applyAlignment="1">
      <alignment horizontal="left" vertical="center"/>
    </xf>
    <xf numFmtId="0" fontId="102" fillId="0" borderId="90" xfId="1500" applyFont="1" applyBorder="1" applyAlignment="1">
      <alignment horizontal="left" vertical="center"/>
    </xf>
    <xf numFmtId="0" fontId="2" fillId="0" borderId="90" xfId="1500" applyBorder="1" applyAlignment="1">
      <alignment wrapText="1"/>
    </xf>
    <xf numFmtId="0" fontId="2" fillId="0" borderId="90" xfId="1500" applyBorder="1"/>
    <xf numFmtId="0" fontId="2" fillId="0" borderId="90" xfId="1500" applyBorder="1" applyAlignment="1">
      <alignment vertical="center"/>
    </xf>
    <xf numFmtId="0" fontId="101" fillId="0" borderId="89" xfId="1500" applyFont="1" applyBorder="1" applyAlignment="1">
      <alignment horizontal="right" vertical="center"/>
    </xf>
    <xf numFmtId="10" fontId="102" fillId="0" borderId="91" xfId="1500" applyNumberFormat="1" applyFont="1" applyBorder="1" applyAlignment="1">
      <alignment horizontal="center" vertical="center"/>
    </xf>
    <xf numFmtId="0" fontId="2" fillId="0" borderId="32" xfId="1500"/>
    <xf numFmtId="49" fontId="101" fillId="0" borderId="92" xfId="1500" applyNumberFormat="1" applyFont="1" applyBorder="1" applyAlignment="1">
      <alignment horizontal="left" vertical="center"/>
    </xf>
    <xf numFmtId="0" fontId="102" fillId="0" borderId="93" xfId="1500" applyFont="1" applyBorder="1" applyAlignment="1">
      <alignment horizontal="left" vertical="center"/>
    </xf>
    <xf numFmtId="0" fontId="102" fillId="0" borderId="94" xfId="1500" applyFont="1" applyBorder="1" applyAlignment="1">
      <alignment horizontal="left" vertical="center"/>
    </xf>
    <xf numFmtId="0" fontId="2" fillId="0" borderId="95" xfId="1500" applyBorder="1" applyAlignment="1">
      <alignment wrapText="1"/>
    </xf>
    <xf numFmtId="0" fontId="2" fillId="0" borderId="95" xfId="1500" applyBorder="1"/>
    <xf numFmtId="0" fontId="2" fillId="0" borderId="95" xfId="1500" applyBorder="1" applyAlignment="1">
      <alignment vertical="center"/>
    </xf>
    <xf numFmtId="0" fontId="101" fillId="0" borderId="93" xfId="1500" applyFont="1" applyBorder="1" applyAlignment="1">
      <alignment horizontal="right" vertical="center"/>
    </xf>
    <xf numFmtId="10" fontId="102" fillId="0" borderId="96" xfId="1500" applyNumberFormat="1" applyFont="1" applyBorder="1" applyAlignment="1">
      <alignment horizontal="center" vertical="center"/>
    </xf>
    <xf numFmtId="0" fontId="2" fillId="0" borderId="94" xfId="1500" applyBorder="1" applyAlignment="1">
      <alignment wrapText="1"/>
    </xf>
    <xf numFmtId="0" fontId="2" fillId="0" borderId="94" xfId="1500" applyBorder="1"/>
    <xf numFmtId="0" fontId="2" fillId="0" borderId="94" xfId="1500" applyBorder="1" applyAlignment="1">
      <alignment vertical="center"/>
    </xf>
    <xf numFmtId="10" fontId="102" fillId="0" borderId="96" xfId="58" applyNumberFormat="1" applyFont="1" applyFill="1" applyBorder="1" applyAlignment="1">
      <alignment horizontal="center" vertical="center"/>
    </xf>
    <xf numFmtId="0" fontId="101" fillId="0" borderId="97" xfId="1500" applyFont="1" applyBorder="1" applyAlignment="1">
      <alignment horizontal="left" vertical="center"/>
    </xf>
    <xf numFmtId="170" fontId="102" fillId="0" borderId="94" xfId="1500" applyNumberFormat="1" applyFont="1" applyBorder="1" applyAlignment="1">
      <alignment horizontal="left" vertical="center"/>
    </xf>
    <xf numFmtId="170" fontId="102" fillId="0" borderId="94" xfId="1500" applyNumberFormat="1" applyFont="1" applyBorder="1" applyAlignment="1">
      <alignment horizontal="center" vertical="center"/>
    </xf>
    <xf numFmtId="0" fontId="2" fillId="0" borderId="98" xfId="1500" applyBorder="1" applyAlignment="1">
      <alignment horizontal="left"/>
    </xf>
    <xf numFmtId="0" fontId="2" fillId="0" borderId="99" xfId="1500" applyBorder="1"/>
    <xf numFmtId="171" fontId="103" fillId="0" borderId="96" xfId="1500" applyNumberFormat="1" applyFont="1" applyBorder="1" applyAlignment="1">
      <alignment horizontal="center" vertical="center"/>
    </xf>
    <xf numFmtId="0" fontId="101" fillId="0" borderId="94" xfId="1500" applyFont="1" applyBorder="1" applyAlignment="1">
      <alignment horizontal="left" vertical="center"/>
    </xf>
    <xf numFmtId="170" fontId="101" fillId="0" borderId="100" xfId="1500" applyNumberFormat="1" applyFont="1" applyBorder="1" applyAlignment="1">
      <alignment horizontal="center" vertical="center"/>
    </xf>
    <xf numFmtId="0" fontId="101" fillId="0" borderId="101" xfId="1500" applyFont="1" applyBorder="1" applyAlignment="1">
      <alignment horizontal="left" vertical="center"/>
    </xf>
    <xf numFmtId="0" fontId="102" fillId="0" borderId="102" xfId="1500" applyFont="1" applyBorder="1" applyAlignment="1">
      <alignment horizontal="center" vertical="center"/>
    </xf>
    <xf numFmtId="0" fontId="2" fillId="0" borderId="102" xfId="1500" applyBorder="1" applyAlignment="1">
      <alignment wrapText="1"/>
    </xf>
    <xf numFmtId="0" fontId="2" fillId="0" borderId="102" xfId="1500" applyBorder="1"/>
    <xf numFmtId="0" fontId="101" fillId="0" borderId="102" xfId="1500" applyFont="1" applyBorder="1" applyAlignment="1">
      <alignment horizontal="right" vertical="center"/>
    </xf>
    <xf numFmtId="170" fontId="102" fillId="0" borderId="103" xfId="1500" applyNumberFormat="1" applyFont="1" applyBorder="1" applyAlignment="1">
      <alignment horizontal="center" vertical="center"/>
    </xf>
    <xf numFmtId="0" fontId="104" fillId="63" borderId="87" xfId="1500" applyFont="1" applyFill="1" applyBorder="1" applyAlignment="1">
      <alignment horizontal="center" vertical="center" wrapText="1"/>
    </xf>
    <xf numFmtId="0" fontId="104" fillId="0" borderId="98" xfId="1500" applyFont="1" applyFill="1" applyBorder="1" applyAlignment="1">
      <alignment horizontal="left" vertical="center"/>
    </xf>
    <xf numFmtId="0" fontId="104" fillId="0" borderId="32" xfId="1500" applyFont="1" applyFill="1" applyBorder="1" applyAlignment="1">
      <alignment horizontal="center" vertical="center"/>
    </xf>
    <xf numFmtId="0" fontId="104" fillId="0" borderId="32" xfId="1500" applyFont="1" applyFill="1" applyBorder="1" applyAlignment="1">
      <alignment horizontal="center" vertical="center" wrapText="1"/>
    </xf>
    <xf numFmtId="0" fontId="104" fillId="0" borderId="104" xfId="1500" applyFont="1" applyFill="1" applyBorder="1" applyAlignment="1">
      <alignment horizontal="center" vertical="center"/>
    </xf>
    <xf numFmtId="0" fontId="105" fillId="64" borderId="105" xfId="1500" applyFont="1" applyFill="1" applyBorder="1" applyAlignment="1">
      <alignment horizontal="left" vertical="center"/>
    </xf>
    <xf numFmtId="0" fontId="105" fillId="64" borderId="81" xfId="1500" applyFont="1" applyFill="1" applyBorder="1" applyAlignment="1">
      <alignment horizontal="center" vertical="center"/>
    </xf>
    <xf numFmtId="0" fontId="105" fillId="64" borderId="81" xfId="1500" applyFont="1" applyFill="1" applyBorder="1" applyAlignment="1">
      <alignment horizontal="center" vertical="center" wrapText="1"/>
    </xf>
    <xf numFmtId="0" fontId="105" fillId="64" borderId="106" xfId="1500" applyFont="1" applyFill="1" applyBorder="1" applyAlignment="1">
      <alignment horizontal="center" vertical="center"/>
    </xf>
    <xf numFmtId="0" fontId="105" fillId="0" borderId="105" xfId="1500" applyFont="1" applyFill="1" applyBorder="1" applyAlignment="1">
      <alignment horizontal="left"/>
    </xf>
    <xf numFmtId="0" fontId="103" fillId="0" borderId="81" xfId="1500" applyFont="1" applyFill="1" applyBorder="1" applyAlignment="1">
      <alignment horizontal="center"/>
    </xf>
    <xf numFmtId="0" fontId="102" fillId="0" borderId="81" xfId="1500" applyFont="1" applyFill="1" applyBorder="1" applyAlignment="1">
      <alignment vertical="center" wrapText="1"/>
    </xf>
    <xf numFmtId="167" fontId="103" fillId="0" borderId="81" xfId="68" applyNumberFormat="1" applyFont="1" applyFill="1" applyBorder="1" applyAlignment="1"/>
    <xf numFmtId="167" fontId="103" fillId="0" borderId="106" xfId="68" applyNumberFormat="1" applyFont="1" applyFill="1" applyBorder="1" applyAlignment="1"/>
    <xf numFmtId="0" fontId="105" fillId="67" borderId="105" xfId="1500" applyFont="1" applyFill="1" applyBorder="1" applyAlignment="1">
      <alignment horizontal="left" vertical="center"/>
    </xf>
    <xf numFmtId="0" fontId="103" fillId="67" borderId="81" xfId="1500" applyFont="1" applyFill="1" applyBorder="1" applyAlignment="1">
      <alignment horizontal="center" vertical="center"/>
    </xf>
    <xf numFmtId="0" fontId="102" fillId="67" borderId="81" xfId="1500" applyFont="1" applyFill="1" applyBorder="1" applyAlignment="1">
      <alignment vertical="center" wrapText="1"/>
    </xf>
    <xf numFmtId="167" fontId="106" fillId="67" borderId="81" xfId="68" applyNumberFormat="1" applyFont="1" applyFill="1" applyBorder="1" applyAlignment="1">
      <alignment vertical="center"/>
    </xf>
    <xf numFmtId="0" fontId="2" fillId="67" borderId="32" xfId="1500" applyFill="1" applyBorder="1" applyAlignment="1">
      <alignment vertical="center"/>
    </xf>
    <xf numFmtId="167" fontId="103" fillId="67" borderId="81" xfId="68" applyNumberFormat="1" applyFont="1" applyFill="1" applyBorder="1" applyAlignment="1">
      <alignment vertical="center"/>
    </xf>
    <xf numFmtId="167" fontId="103" fillId="67" borderId="106" xfId="68" applyNumberFormat="1" applyFont="1" applyFill="1" applyBorder="1" applyAlignment="1">
      <alignment vertical="center"/>
    </xf>
    <xf numFmtId="0" fontId="106" fillId="0" borderId="81" xfId="1500" applyFont="1" applyFill="1" applyBorder="1" applyAlignment="1">
      <alignment horizontal="center"/>
    </xf>
    <xf numFmtId="0" fontId="106" fillId="0" borderId="81" xfId="1500" applyFont="1" applyFill="1" applyBorder="1" applyAlignment="1">
      <alignment vertical="center" wrapText="1"/>
    </xf>
    <xf numFmtId="167" fontId="106" fillId="0" borderId="81" xfId="68" applyNumberFormat="1" applyFont="1" applyFill="1" applyBorder="1" applyAlignment="1"/>
    <xf numFmtId="167" fontId="106" fillId="70" borderId="81" xfId="68" applyNumberFormat="1" applyFont="1" applyFill="1" applyBorder="1" applyAlignment="1"/>
    <xf numFmtId="167" fontId="106" fillId="0" borderId="106" xfId="70" applyNumberFormat="1" applyFont="1" applyFill="1" applyBorder="1" applyAlignment="1"/>
    <xf numFmtId="167" fontId="106" fillId="0" borderId="81" xfId="70" applyNumberFormat="1" applyFont="1" applyFill="1" applyBorder="1" applyAlignment="1"/>
    <xf numFmtId="167" fontId="106" fillId="70" borderId="81" xfId="70" applyNumberFormat="1" applyFont="1" applyFill="1" applyBorder="1" applyAlignment="1"/>
    <xf numFmtId="167" fontId="103" fillId="67" borderId="81" xfId="70" applyNumberFormat="1" applyFont="1" applyFill="1" applyBorder="1" applyAlignment="1">
      <alignment vertical="center"/>
    </xf>
    <xf numFmtId="167" fontId="103" fillId="67" borderId="106" xfId="70" applyNumberFormat="1" applyFont="1" applyFill="1" applyBorder="1" applyAlignment="1">
      <alignment vertical="center"/>
    </xf>
    <xf numFmtId="0" fontId="2" fillId="67" borderId="105" xfId="1500" applyFill="1" applyBorder="1" applyAlignment="1">
      <alignment horizontal="left"/>
    </xf>
    <xf numFmtId="0" fontId="103" fillId="67" borderId="81" xfId="1500" applyFont="1" applyFill="1" applyBorder="1" applyAlignment="1">
      <alignment vertical="center" wrapText="1"/>
    </xf>
    <xf numFmtId="167" fontId="103" fillId="67" borderId="81" xfId="70" applyNumberFormat="1" applyFont="1" applyFill="1" applyBorder="1" applyAlignment="1"/>
    <xf numFmtId="167" fontId="103" fillId="67" borderId="106" xfId="70" applyNumberFormat="1" applyFont="1" applyFill="1" applyBorder="1" applyAlignment="1"/>
    <xf numFmtId="0" fontId="107" fillId="0" borderId="105" xfId="1500" applyFont="1" applyFill="1" applyBorder="1" applyAlignment="1">
      <alignment horizontal="left"/>
    </xf>
    <xf numFmtId="49" fontId="106" fillId="0" borderId="81" xfId="1500" applyNumberFormat="1" applyFont="1" applyFill="1" applyBorder="1" applyAlignment="1">
      <alignment horizontal="center"/>
    </xf>
    <xf numFmtId="0" fontId="103" fillId="0" borderId="81" xfId="1500" applyFont="1" applyFill="1" applyBorder="1" applyAlignment="1">
      <alignment horizontal="center" vertical="center"/>
    </xf>
    <xf numFmtId="49" fontId="103" fillId="67" borderId="105" xfId="1500" applyNumberFormat="1" applyFont="1" applyFill="1" applyBorder="1" applyAlignment="1">
      <alignment horizontal="left" vertical="center"/>
    </xf>
    <xf numFmtId="49" fontId="103" fillId="0" borderId="105" xfId="1500" applyNumberFormat="1" applyFont="1" applyFill="1" applyBorder="1" applyAlignment="1">
      <alignment horizontal="left" vertical="center"/>
    </xf>
    <xf numFmtId="0" fontId="106" fillId="0" borderId="105" xfId="1500" applyFont="1" applyFill="1" applyBorder="1" applyAlignment="1">
      <alignment horizontal="left"/>
    </xf>
    <xf numFmtId="0" fontId="108" fillId="0" borderId="105" xfId="1500" applyFont="1" applyFill="1" applyBorder="1" applyAlignment="1">
      <alignment horizontal="left"/>
    </xf>
    <xf numFmtId="0" fontId="106" fillId="0" borderId="81" xfId="5" applyFont="1" applyFill="1" applyBorder="1" applyAlignment="1">
      <alignment vertical="center" wrapText="1"/>
    </xf>
    <xf numFmtId="0" fontId="103" fillId="67" borderId="105" xfId="1500" applyFont="1" applyFill="1" applyBorder="1" applyAlignment="1">
      <alignment horizontal="left" vertical="center"/>
    </xf>
    <xf numFmtId="0" fontId="103" fillId="67" borderId="81" xfId="5" applyFont="1" applyFill="1" applyBorder="1" applyAlignment="1">
      <alignment horizontal="center" vertical="center"/>
    </xf>
    <xf numFmtId="0" fontId="106" fillId="67" borderId="105" xfId="1500" applyFont="1" applyFill="1" applyBorder="1" applyAlignment="1">
      <alignment horizontal="left"/>
    </xf>
    <xf numFmtId="167" fontId="106" fillId="0" borderId="106" xfId="68" applyNumberFormat="1" applyFont="1" applyFill="1" applyBorder="1" applyAlignment="1"/>
    <xf numFmtId="172" fontId="106" fillId="0" borderId="81" xfId="1500" applyNumberFormat="1" applyFont="1" applyFill="1" applyBorder="1" applyAlignment="1">
      <alignment horizontal="center"/>
    </xf>
    <xf numFmtId="0" fontId="106" fillId="0" borderId="105" xfId="1500" applyFont="1" applyFill="1" applyBorder="1" applyAlignment="1">
      <alignment horizontal="left" vertical="center"/>
    </xf>
    <xf numFmtId="0" fontId="106" fillId="0" borderId="81" xfId="1500" applyFont="1" applyFill="1" applyBorder="1" applyAlignment="1">
      <alignment horizontal="center" vertical="center"/>
    </xf>
    <xf numFmtId="167" fontId="106" fillId="0" borderId="81" xfId="68" applyNumberFormat="1" applyFont="1" applyFill="1" applyBorder="1" applyAlignment="1">
      <alignment vertical="center"/>
    </xf>
    <xf numFmtId="167" fontId="106" fillId="0" borderId="106" xfId="70" applyNumberFormat="1" applyFont="1" applyFill="1" applyBorder="1" applyAlignment="1">
      <alignment vertical="center"/>
    </xf>
    <xf numFmtId="0" fontId="2" fillId="0" borderId="32" xfId="1500" applyAlignment="1">
      <alignment vertical="center"/>
    </xf>
    <xf numFmtId="0" fontId="103" fillId="0" borderId="81" xfId="1500" applyFont="1" applyFill="1" applyBorder="1" applyAlignment="1">
      <alignment vertical="center" wrapText="1"/>
    </xf>
    <xf numFmtId="0" fontId="105" fillId="67" borderId="105" xfId="1500" applyFont="1" applyFill="1" applyBorder="1" applyAlignment="1">
      <alignment horizontal="left"/>
    </xf>
    <xf numFmtId="0" fontId="106" fillId="0" borderId="81" xfId="1500" applyFont="1" applyFill="1" applyBorder="1" applyAlignment="1">
      <alignment horizontal="center" wrapText="1"/>
    </xf>
    <xf numFmtId="0" fontId="106" fillId="0" borderId="106" xfId="1500" applyFont="1" applyFill="1" applyBorder="1" applyAlignment="1">
      <alignment horizontal="center"/>
    </xf>
    <xf numFmtId="0" fontId="103" fillId="0" borderId="81" xfId="1500" applyNumberFormat="1" applyFont="1" applyFill="1" applyBorder="1" applyAlignment="1">
      <alignment horizontal="center" vertical="center"/>
    </xf>
    <xf numFmtId="167" fontId="103" fillId="0" borderId="81" xfId="70" applyNumberFormat="1" applyFont="1" applyFill="1" applyBorder="1" applyAlignment="1"/>
    <xf numFmtId="167" fontId="103" fillId="0" borderId="106" xfId="70" applyNumberFormat="1" applyFont="1" applyFill="1" applyBorder="1" applyAlignment="1"/>
    <xf numFmtId="0" fontId="109" fillId="67" borderId="105" xfId="1500" applyFont="1" applyFill="1" applyBorder="1" applyAlignment="1">
      <alignment horizontal="left"/>
    </xf>
    <xf numFmtId="0" fontId="2" fillId="0" borderId="105" xfId="1500" applyFill="1" applyBorder="1" applyAlignment="1">
      <alignment horizontal="left"/>
    </xf>
    <xf numFmtId="167" fontId="103" fillId="67" borderId="81" xfId="1306" applyNumberFormat="1" applyFont="1" applyFill="1" applyBorder="1" applyAlignment="1"/>
    <xf numFmtId="167" fontId="103" fillId="67" borderId="106" xfId="1306" applyNumberFormat="1" applyFont="1" applyFill="1" applyBorder="1" applyAlignment="1"/>
    <xf numFmtId="167" fontId="106" fillId="0" borderId="81" xfId="1306" applyNumberFormat="1" applyFont="1" applyFill="1" applyBorder="1" applyAlignment="1"/>
    <xf numFmtId="167" fontId="106" fillId="0" borderId="106" xfId="1306" applyNumberFormat="1" applyFont="1" applyFill="1" applyBorder="1" applyAlignment="1"/>
    <xf numFmtId="167" fontId="106" fillId="70" borderId="81" xfId="1306" applyNumberFormat="1" applyFont="1" applyFill="1" applyBorder="1" applyAlignment="1"/>
    <xf numFmtId="173" fontId="106" fillId="0" borderId="81" xfId="1500" applyNumberFormat="1" applyFont="1" applyFill="1" applyBorder="1" applyAlignment="1">
      <alignment horizontal="center"/>
    </xf>
    <xf numFmtId="0" fontId="107" fillId="0" borderId="32" xfId="1500" applyFont="1" applyBorder="1" applyAlignment="1"/>
    <xf numFmtId="167" fontId="106" fillId="70" borderId="81" xfId="68" applyNumberFormat="1" applyFont="1" applyFill="1" applyBorder="1" applyAlignment="1">
      <alignment horizontal="center" vertical="center"/>
    </xf>
    <xf numFmtId="0" fontId="2" fillId="0" borderId="32" xfId="1500" applyFill="1"/>
    <xf numFmtId="167" fontId="106" fillId="70" borderId="81" xfId="68" applyNumberFormat="1" applyFont="1" applyFill="1" applyBorder="1" applyAlignment="1">
      <alignment vertical="center"/>
    </xf>
    <xf numFmtId="4" fontId="9" fillId="70" borderId="32" xfId="0" applyNumberFormat="1" applyFont="1" applyFill="1" applyBorder="1" applyAlignment="1">
      <alignment horizontal="center" vertical="center"/>
    </xf>
    <xf numFmtId="0" fontId="106" fillId="67" borderId="105" xfId="0" applyFont="1" applyFill="1" applyBorder="1" applyAlignment="1">
      <alignment horizontal="left"/>
    </xf>
    <xf numFmtId="0" fontId="103" fillId="67" borderId="81" xfId="0" applyFont="1" applyFill="1" applyBorder="1" applyAlignment="1">
      <alignment horizontal="center" vertical="center"/>
    </xf>
    <xf numFmtId="0" fontId="103" fillId="67" borderId="81" xfId="0" applyFont="1" applyFill="1" applyBorder="1" applyAlignment="1">
      <alignment vertical="center" wrapText="1"/>
    </xf>
    <xf numFmtId="0" fontId="106" fillId="0" borderId="105" xfId="0" applyFont="1" applyFill="1" applyBorder="1" applyAlignment="1">
      <alignment horizontal="left"/>
    </xf>
    <xf numFmtId="0" fontId="106" fillId="0" borderId="81" xfId="0" applyFont="1" applyFill="1" applyBorder="1" applyAlignment="1">
      <alignment horizontal="center"/>
    </xf>
    <xf numFmtId="0" fontId="106" fillId="0" borderId="81" xfId="0" applyFont="1" applyFill="1" applyBorder="1" applyAlignment="1">
      <alignment vertical="center" wrapText="1"/>
    </xf>
    <xf numFmtId="0" fontId="103" fillId="0" borderId="81" xfId="0" applyFont="1" applyFill="1" applyBorder="1" applyAlignment="1">
      <alignment vertical="center" wrapText="1"/>
    </xf>
    <xf numFmtId="0" fontId="105" fillId="0" borderId="105" xfId="0" applyFont="1" applyFill="1" applyBorder="1" applyAlignment="1">
      <alignment horizontal="left"/>
    </xf>
    <xf numFmtId="0" fontId="109" fillId="67" borderId="105" xfId="0" applyFont="1" applyFill="1" applyBorder="1" applyAlignment="1">
      <alignment horizontal="left"/>
    </xf>
    <xf numFmtId="0" fontId="106" fillId="0" borderId="105" xfId="0" applyFont="1" applyFill="1" applyBorder="1" applyAlignment="1">
      <alignment horizontal="left" vertical="center"/>
    </xf>
    <xf numFmtId="0" fontId="106" fillId="123" borderId="81" xfId="1500" applyFont="1" applyFill="1" applyBorder="1" applyAlignment="1">
      <alignment horizontal="center"/>
    </xf>
    <xf numFmtId="4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9" fillId="0" borderId="32" xfId="0" applyFont="1" applyFill="1" applyBorder="1" applyAlignment="1">
      <alignment horizontal="left" vertical="center"/>
    </xf>
    <xf numFmtId="0" fontId="0" fillId="0" borderId="0" xfId="0" applyFont="1" applyAlignment="1"/>
    <xf numFmtId="43" fontId="106" fillId="70" borderId="81" xfId="1330" applyFont="1" applyFill="1" applyBorder="1" applyAlignment="1"/>
    <xf numFmtId="0" fontId="1" fillId="0" borderId="32" xfId="1500" applyFont="1"/>
    <xf numFmtId="0" fontId="103" fillId="67" borderId="81" xfId="1500" applyFont="1" applyFill="1" applyBorder="1" applyAlignment="1">
      <alignment horizontal="center" vertical="center" wrapText="1"/>
    </xf>
    <xf numFmtId="0" fontId="0" fillId="67" borderId="8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4" fontId="9" fillId="69" borderId="32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10" xfId="0" applyFont="1" applyBorder="1"/>
    <xf numFmtId="0" fontId="7" fillId="0" borderId="16" xfId="0" applyFont="1" applyBorder="1" applyAlignment="1">
      <alignment horizontal="left" wrapText="1"/>
    </xf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0" fillId="0" borderId="0" xfId="0" applyFont="1" applyAlignment="1"/>
    <xf numFmtId="0" fontId="10" fillId="0" borderId="9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7" fillId="0" borderId="23" xfId="0" applyFont="1" applyBorder="1" applyAlignment="1">
      <alignment horizontal="left" wrapText="1"/>
    </xf>
    <xf numFmtId="0" fontId="10" fillId="0" borderId="24" xfId="0" applyFont="1" applyBorder="1"/>
    <xf numFmtId="0" fontId="7" fillId="0" borderId="23" xfId="0" applyFont="1" applyBorder="1" applyAlignment="1">
      <alignment horizontal="center" wrapText="1"/>
    </xf>
    <xf numFmtId="0" fontId="20" fillId="0" borderId="16" xfId="0" applyFont="1" applyBorder="1" applyAlignment="1">
      <alignment horizontal="left" vertical="top" wrapText="1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</cellXfs>
  <cellStyles count="2731">
    <cellStyle name="20% - Accent1" xfId="182"/>
    <cellStyle name="20% - Accent1 2" xfId="183"/>
    <cellStyle name="20% - Accent1 2 2" xfId="1501"/>
    <cellStyle name="20% - Accent1 3" xfId="1502"/>
    <cellStyle name="20% - Accent2" xfId="184"/>
    <cellStyle name="20% - Accent2 2" xfId="185"/>
    <cellStyle name="20% - Accent2 2 2" xfId="1503"/>
    <cellStyle name="20% - Accent2 3" xfId="1504"/>
    <cellStyle name="20% - Accent3" xfId="186"/>
    <cellStyle name="20% - Accent3 2" xfId="187"/>
    <cellStyle name="20% - Accent3 2 2" xfId="1505"/>
    <cellStyle name="20% - Accent3 3" xfId="1506"/>
    <cellStyle name="20% - Accent4" xfId="188"/>
    <cellStyle name="20% - Accent4 2" xfId="189"/>
    <cellStyle name="20% - Accent4 2 2" xfId="1507"/>
    <cellStyle name="20% - Accent4 3" xfId="1508"/>
    <cellStyle name="20% - Accent5" xfId="190"/>
    <cellStyle name="20% - Accent5 2" xfId="191"/>
    <cellStyle name="20% - Accent5 2 2" xfId="1509"/>
    <cellStyle name="20% - Accent5 3" xfId="1510"/>
    <cellStyle name="20% - Accent6" xfId="192"/>
    <cellStyle name="20% - Accent6 2" xfId="193"/>
    <cellStyle name="20% - Accent6 2 2" xfId="1511"/>
    <cellStyle name="20% - Accent6 3" xfId="1512"/>
    <cellStyle name="20% - Ênfase1 10" xfId="194"/>
    <cellStyle name="20% - Ênfase1 10 2" xfId="1513"/>
    <cellStyle name="20% - Ênfase1 2" xfId="76"/>
    <cellStyle name="20% - Ênfase1 2 2" xfId="196"/>
    <cellStyle name="20% - Ênfase1 2 2 2" xfId="197"/>
    <cellStyle name="20% - Ênfase1 2 2 2 2" xfId="1514"/>
    <cellStyle name="20% - Ênfase1 2 2 3" xfId="1515"/>
    <cellStyle name="20% - Ênfase1 2 3" xfId="198"/>
    <cellStyle name="20% - Ênfase1 2 3 2" xfId="199"/>
    <cellStyle name="20% - Ênfase1 2 3 2 2" xfId="1516"/>
    <cellStyle name="20% - Ênfase1 2 3 3" xfId="200"/>
    <cellStyle name="20% - Ênfase1 2 3 3 2" xfId="1517"/>
    <cellStyle name="20% - Ênfase1 2 3 4" xfId="1518"/>
    <cellStyle name="20% - Ênfase1 2 3_Composições" xfId="201"/>
    <cellStyle name="20% - Ênfase1 2 4" xfId="202"/>
    <cellStyle name="20% - Ênfase1 2 4 2" xfId="1519"/>
    <cellStyle name="20% - Ênfase1 2 5" xfId="203"/>
    <cellStyle name="20% - Ênfase1 2 5 2" xfId="1520"/>
    <cellStyle name="20% - Ênfase1 2 6" xfId="195"/>
    <cellStyle name="20% - Ênfase1 2 6 2" xfId="1521"/>
    <cellStyle name="20% - Ênfase1 2 7" xfId="1522"/>
    <cellStyle name="20% - Ênfase1 2_Composições" xfId="204"/>
    <cellStyle name="20% - Ênfase1 3" xfId="205"/>
    <cellStyle name="20% - Ênfase1 3 2" xfId="206"/>
    <cellStyle name="20% - Ênfase1 3 2 2" xfId="207"/>
    <cellStyle name="20% - Ênfase1 3 2 2 2" xfId="1523"/>
    <cellStyle name="20% - Ênfase1 3 2 3" xfId="208"/>
    <cellStyle name="20% - Ênfase1 3 2 3 2" xfId="1524"/>
    <cellStyle name="20% - Ênfase1 3 2 4" xfId="1525"/>
    <cellStyle name="20% - Ênfase1 3 2_Composições" xfId="209"/>
    <cellStyle name="20% - Ênfase1 3 3" xfId="210"/>
    <cellStyle name="20% - Ênfase1 3 3 2" xfId="1526"/>
    <cellStyle name="20% - Ênfase1 3 4" xfId="211"/>
    <cellStyle name="20% - Ênfase1 3 4 2" xfId="1527"/>
    <cellStyle name="20% - Ênfase1 3 5" xfId="1528"/>
    <cellStyle name="20% - Ênfase1 3_Composições" xfId="212"/>
    <cellStyle name="20% - Ênfase1 4" xfId="213"/>
    <cellStyle name="20% - Ênfase1 4 2" xfId="214"/>
    <cellStyle name="20% - Ênfase1 4 2 2" xfId="1529"/>
    <cellStyle name="20% - Ênfase1 4 3" xfId="1530"/>
    <cellStyle name="20% - Ênfase1 5" xfId="215"/>
    <cellStyle name="20% - Ênfase1 5 2" xfId="216"/>
    <cellStyle name="20% - Ênfase1 5 2 2" xfId="217"/>
    <cellStyle name="20% - Ênfase1 5 2 2 2" xfId="1531"/>
    <cellStyle name="20% - Ênfase1 5 2 3" xfId="218"/>
    <cellStyle name="20% - Ênfase1 5 2 3 2" xfId="1532"/>
    <cellStyle name="20% - Ênfase1 5 2 4" xfId="1533"/>
    <cellStyle name="20% - Ênfase1 5 2_Composições" xfId="219"/>
    <cellStyle name="20% - Ênfase1 5 3" xfId="220"/>
    <cellStyle name="20% - Ênfase1 5 3 2" xfId="1534"/>
    <cellStyle name="20% - Ênfase1 5 4" xfId="221"/>
    <cellStyle name="20% - Ênfase1 5 4 2" xfId="1535"/>
    <cellStyle name="20% - Ênfase1 5 5" xfId="1536"/>
    <cellStyle name="20% - Ênfase1 5_Composições" xfId="222"/>
    <cellStyle name="20% - Ênfase1 6" xfId="223"/>
    <cellStyle name="20% - Ênfase1 6 2" xfId="1537"/>
    <cellStyle name="20% - Ênfase1 7" xfId="224"/>
    <cellStyle name="20% - Ênfase1 7 2" xfId="1538"/>
    <cellStyle name="20% - Ênfase1 8" xfId="225"/>
    <cellStyle name="20% - Ênfase1 8 2" xfId="1539"/>
    <cellStyle name="20% - Ênfase1 9" xfId="226"/>
    <cellStyle name="20% - Ênfase1 9 2" xfId="1540"/>
    <cellStyle name="20% - Ênfase2 10" xfId="227"/>
    <cellStyle name="20% - Ênfase2 10 2" xfId="1541"/>
    <cellStyle name="20% - Ênfase2 2" xfId="77"/>
    <cellStyle name="20% - Ênfase2 2 2" xfId="229"/>
    <cellStyle name="20% - Ênfase2 2 2 2" xfId="230"/>
    <cellStyle name="20% - Ênfase2 2 2 2 2" xfId="1542"/>
    <cellStyle name="20% - Ênfase2 2 2 3" xfId="1543"/>
    <cellStyle name="20% - Ênfase2 2 3" xfId="231"/>
    <cellStyle name="20% - Ênfase2 2 3 2" xfId="232"/>
    <cellStyle name="20% - Ênfase2 2 3 2 2" xfId="1544"/>
    <cellStyle name="20% - Ênfase2 2 3 3" xfId="233"/>
    <cellStyle name="20% - Ênfase2 2 3 3 2" xfId="1545"/>
    <cellStyle name="20% - Ênfase2 2 3 4" xfId="1546"/>
    <cellStyle name="20% - Ênfase2 2 3_Composições" xfId="234"/>
    <cellStyle name="20% - Ênfase2 2 4" xfId="235"/>
    <cellStyle name="20% - Ênfase2 2 4 2" xfId="1547"/>
    <cellStyle name="20% - Ênfase2 2 5" xfId="236"/>
    <cellStyle name="20% - Ênfase2 2 5 2" xfId="1548"/>
    <cellStyle name="20% - Ênfase2 2 6" xfId="228"/>
    <cellStyle name="20% - Ênfase2 2 6 2" xfId="1549"/>
    <cellStyle name="20% - Ênfase2 2 7" xfId="1550"/>
    <cellStyle name="20% - Ênfase2 2_Composições" xfId="237"/>
    <cellStyle name="20% - Ênfase2 3" xfId="238"/>
    <cellStyle name="20% - Ênfase2 3 2" xfId="239"/>
    <cellStyle name="20% - Ênfase2 3 2 2" xfId="240"/>
    <cellStyle name="20% - Ênfase2 3 2 2 2" xfId="1551"/>
    <cellStyle name="20% - Ênfase2 3 2 3" xfId="241"/>
    <cellStyle name="20% - Ênfase2 3 2 3 2" xfId="1552"/>
    <cellStyle name="20% - Ênfase2 3 2 4" xfId="1553"/>
    <cellStyle name="20% - Ênfase2 3 2_Composições" xfId="242"/>
    <cellStyle name="20% - Ênfase2 3 3" xfId="243"/>
    <cellStyle name="20% - Ênfase2 3 3 2" xfId="1554"/>
    <cellStyle name="20% - Ênfase2 3 4" xfId="244"/>
    <cellStyle name="20% - Ênfase2 3 4 2" xfId="1555"/>
    <cellStyle name="20% - Ênfase2 3 5" xfId="1556"/>
    <cellStyle name="20% - Ênfase2 3_Composições" xfId="245"/>
    <cellStyle name="20% - Ênfase2 4" xfId="246"/>
    <cellStyle name="20% - Ênfase2 4 2" xfId="247"/>
    <cellStyle name="20% - Ênfase2 4 2 2" xfId="1557"/>
    <cellStyle name="20% - Ênfase2 4 3" xfId="1558"/>
    <cellStyle name="20% - Ênfase2 5" xfId="248"/>
    <cellStyle name="20% - Ênfase2 5 2" xfId="249"/>
    <cellStyle name="20% - Ênfase2 5 2 2" xfId="250"/>
    <cellStyle name="20% - Ênfase2 5 2 2 2" xfId="1559"/>
    <cellStyle name="20% - Ênfase2 5 2 3" xfId="251"/>
    <cellStyle name="20% - Ênfase2 5 2 3 2" xfId="1560"/>
    <cellStyle name="20% - Ênfase2 5 2 4" xfId="1561"/>
    <cellStyle name="20% - Ênfase2 5 2_Composições" xfId="252"/>
    <cellStyle name="20% - Ênfase2 5 3" xfId="253"/>
    <cellStyle name="20% - Ênfase2 5 3 2" xfId="1562"/>
    <cellStyle name="20% - Ênfase2 5 4" xfId="254"/>
    <cellStyle name="20% - Ênfase2 5 4 2" xfId="1563"/>
    <cellStyle name="20% - Ênfase2 5 5" xfId="1564"/>
    <cellStyle name="20% - Ênfase2 5_Composições" xfId="255"/>
    <cellStyle name="20% - Ênfase2 6" xfId="256"/>
    <cellStyle name="20% - Ênfase2 6 2" xfId="1565"/>
    <cellStyle name="20% - Ênfase2 7" xfId="257"/>
    <cellStyle name="20% - Ênfase2 7 2" xfId="1566"/>
    <cellStyle name="20% - Ênfase2 8" xfId="258"/>
    <cellStyle name="20% - Ênfase2 8 2" xfId="1567"/>
    <cellStyle name="20% - Ênfase2 9" xfId="259"/>
    <cellStyle name="20% - Ênfase2 9 2" xfId="1568"/>
    <cellStyle name="20% - Ênfase3 10" xfId="260"/>
    <cellStyle name="20% - Ênfase3 10 2" xfId="1569"/>
    <cellStyle name="20% - Ênfase3 2" xfId="78"/>
    <cellStyle name="20% - Ênfase3 2 2" xfId="262"/>
    <cellStyle name="20% - Ênfase3 2 2 2" xfId="263"/>
    <cellStyle name="20% - Ênfase3 2 2 2 2" xfId="1570"/>
    <cellStyle name="20% - Ênfase3 2 2 3" xfId="1571"/>
    <cellStyle name="20% - Ênfase3 2 3" xfId="264"/>
    <cellStyle name="20% - Ênfase3 2 3 2" xfId="265"/>
    <cellStyle name="20% - Ênfase3 2 3 2 2" xfId="1572"/>
    <cellStyle name="20% - Ênfase3 2 3 3" xfId="266"/>
    <cellStyle name="20% - Ênfase3 2 3 3 2" xfId="1573"/>
    <cellStyle name="20% - Ênfase3 2 3 4" xfId="1574"/>
    <cellStyle name="20% - Ênfase3 2 3_Composições" xfId="267"/>
    <cellStyle name="20% - Ênfase3 2 4" xfId="268"/>
    <cellStyle name="20% - Ênfase3 2 4 2" xfId="1575"/>
    <cellStyle name="20% - Ênfase3 2 5" xfId="269"/>
    <cellStyle name="20% - Ênfase3 2 5 2" xfId="1576"/>
    <cellStyle name="20% - Ênfase3 2 6" xfId="261"/>
    <cellStyle name="20% - Ênfase3 2 6 2" xfId="1577"/>
    <cellStyle name="20% - Ênfase3 2 7" xfId="1578"/>
    <cellStyle name="20% - Ênfase3 2_Composições" xfId="270"/>
    <cellStyle name="20% - Ênfase3 3" xfId="271"/>
    <cellStyle name="20% - Ênfase3 3 2" xfId="272"/>
    <cellStyle name="20% - Ênfase3 3 2 2" xfId="273"/>
    <cellStyle name="20% - Ênfase3 3 2 2 2" xfId="1579"/>
    <cellStyle name="20% - Ênfase3 3 2 3" xfId="274"/>
    <cellStyle name="20% - Ênfase3 3 2 3 2" xfId="1580"/>
    <cellStyle name="20% - Ênfase3 3 2 4" xfId="1581"/>
    <cellStyle name="20% - Ênfase3 3 2_Composições" xfId="275"/>
    <cellStyle name="20% - Ênfase3 3 3" xfId="276"/>
    <cellStyle name="20% - Ênfase3 3 3 2" xfId="1582"/>
    <cellStyle name="20% - Ênfase3 3 4" xfId="277"/>
    <cellStyle name="20% - Ênfase3 3 4 2" xfId="1583"/>
    <cellStyle name="20% - Ênfase3 3 5" xfId="1584"/>
    <cellStyle name="20% - Ênfase3 3_Composições" xfId="278"/>
    <cellStyle name="20% - Ênfase3 4" xfId="279"/>
    <cellStyle name="20% - Ênfase3 4 2" xfId="280"/>
    <cellStyle name="20% - Ênfase3 4 2 2" xfId="1585"/>
    <cellStyle name="20% - Ênfase3 4 3" xfId="1586"/>
    <cellStyle name="20% - Ênfase3 5" xfId="281"/>
    <cellStyle name="20% - Ênfase3 5 2" xfId="282"/>
    <cellStyle name="20% - Ênfase3 5 2 2" xfId="283"/>
    <cellStyle name="20% - Ênfase3 5 2 2 2" xfId="1587"/>
    <cellStyle name="20% - Ênfase3 5 2 3" xfId="284"/>
    <cellStyle name="20% - Ênfase3 5 2 3 2" xfId="1588"/>
    <cellStyle name="20% - Ênfase3 5 2 4" xfId="1589"/>
    <cellStyle name="20% - Ênfase3 5 2_Composições" xfId="285"/>
    <cellStyle name="20% - Ênfase3 5 3" xfId="286"/>
    <cellStyle name="20% - Ênfase3 5 3 2" xfId="1590"/>
    <cellStyle name="20% - Ênfase3 5 4" xfId="287"/>
    <cellStyle name="20% - Ênfase3 5 4 2" xfId="1591"/>
    <cellStyle name="20% - Ênfase3 5 5" xfId="1592"/>
    <cellStyle name="20% - Ênfase3 5_Composições" xfId="288"/>
    <cellStyle name="20% - Ênfase3 6" xfId="289"/>
    <cellStyle name="20% - Ênfase3 6 2" xfId="1593"/>
    <cellStyle name="20% - Ênfase3 7" xfId="290"/>
    <cellStyle name="20% - Ênfase3 7 2" xfId="1594"/>
    <cellStyle name="20% - Ênfase3 8" xfId="291"/>
    <cellStyle name="20% - Ênfase3 8 2" xfId="1595"/>
    <cellStyle name="20% - Ênfase3 9" xfId="292"/>
    <cellStyle name="20% - Ênfase3 9 2" xfId="1596"/>
    <cellStyle name="20% - Ênfase4 10" xfId="293"/>
    <cellStyle name="20% - Ênfase4 10 2" xfId="1597"/>
    <cellStyle name="20% - Ênfase4 2" xfId="79"/>
    <cellStyle name="20% - Ênfase4 2 2" xfId="295"/>
    <cellStyle name="20% - Ênfase4 2 2 2" xfId="296"/>
    <cellStyle name="20% - Ênfase4 2 2 2 2" xfId="1598"/>
    <cellStyle name="20% - Ênfase4 2 2 3" xfId="1599"/>
    <cellStyle name="20% - Ênfase4 2 3" xfId="297"/>
    <cellStyle name="20% - Ênfase4 2 3 2" xfId="298"/>
    <cellStyle name="20% - Ênfase4 2 3 2 2" xfId="1600"/>
    <cellStyle name="20% - Ênfase4 2 3 3" xfId="299"/>
    <cellStyle name="20% - Ênfase4 2 3 3 2" xfId="1601"/>
    <cellStyle name="20% - Ênfase4 2 3 4" xfId="1602"/>
    <cellStyle name="20% - Ênfase4 2 3_Composições" xfId="300"/>
    <cellStyle name="20% - Ênfase4 2 4" xfId="301"/>
    <cellStyle name="20% - Ênfase4 2 4 2" xfId="1603"/>
    <cellStyle name="20% - Ênfase4 2 5" xfId="302"/>
    <cellStyle name="20% - Ênfase4 2 5 2" xfId="1604"/>
    <cellStyle name="20% - Ênfase4 2 6" xfId="294"/>
    <cellStyle name="20% - Ênfase4 2 6 2" xfId="1605"/>
    <cellStyle name="20% - Ênfase4 2 7" xfId="1606"/>
    <cellStyle name="20% - Ênfase4 2_Composições" xfId="303"/>
    <cellStyle name="20% - Ênfase4 3" xfId="304"/>
    <cellStyle name="20% - Ênfase4 3 2" xfId="305"/>
    <cellStyle name="20% - Ênfase4 3 2 2" xfId="306"/>
    <cellStyle name="20% - Ênfase4 3 2 2 2" xfId="1607"/>
    <cellStyle name="20% - Ênfase4 3 2 3" xfId="307"/>
    <cellStyle name="20% - Ênfase4 3 2 3 2" xfId="1608"/>
    <cellStyle name="20% - Ênfase4 3 2 4" xfId="1609"/>
    <cellStyle name="20% - Ênfase4 3 2_Composições" xfId="308"/>
    <cellStyle name="20% - Ênfase4 3 3" xfId="309"/>
    <cellStyle name="20% - Ênfase4 3 3 2" xfId="1610"/>
    <cellStyle name="20% - Ênfase4 3 4" xfId="310"/>
    <cellStyle name="20% - Ênfase4 3 4 2" xfId="1611"/>
    <cellStyle name="20% - Ênfase4 3 5" xfId="1612"/>
    <cellStyle name="20% - Ênfase4 3_Composições" xfId="311"/>
    <cellStyle name="20% - Ênfase4 4" xfId="312"/>
    <cellStyle name="20% - Ênfase4 4 2" xfId="313"/>
    <cellStyle name="20% - Ênfase4 4 2 2" xfId="1613"/>
    <cellStyle name="20% - Ênfase4 4 3" xfId="1614"/>
    <cellStyle name="20% - Ênfase4 5" xfId="314"/>
    <cellStyle name="20% - Ênfase4 5 2" xfId="315"/>
    <cellStyle name="20% - Ênfase4 5 2 2" xfId="316"/>
    <cellStyle name="20% - Ênfase4 5 2 2 2" xfId="1615"/>
    <cellStyle name="20% - Ênfase4 5 2 3" xfId="317"/>
    <cellStyle name="20% - Ênfase4 5 2 3 2" xfId="1616"/>
    <cellStyle name="20% - Ênfase4 5 2 4" xfId="1617"/>
    <cellStyle name="20% - Ênfase4 5 2_Composições" xfId="318"/>
    <cellStyle name="20% - Ênfase4 5 3" xfId="319"/>
    <cellStyle name="20% - Ênfase4 5 3 2" xfId="1618"/>
    <cellStyle name="20% - Ênfase4 5 4" xfId="320"/>
    <cellStyle name="20% - Ênfase4 5 4 2" xfId="1619"/>
    <cellStyle name="20% - Ênfase4 5 5" xfId="1620"/>
    <cellStyle name="20% - Ênfase4 5_Composições" xfId="321"/>
    <cellStyle name="20% - Ênfase4 6" xfId="322"/>
    <cellStyle name="20% - Ênfase4 6 2" xfId="1621"/>
    <cellStyle name="20% - Ênfase4 7" xfId="323"/>
    <cellStyle name="20% - Ênfase4 7 2" xfId="1622"/>
    <cellStyle name="20% - Ênfase4 8" xfId="324"/>
    <cellStyle name="20% - Ênfase4 8 2" xfId="1623"/>
    <cellStyle name="20% - Ênfase4 9" xfId="325"/>
    <cellStyle name="20% - Ênfase4 9 2" xfId="1624"/>
    <cellStyle name="20% - Ênfase5 10" xfId="326"/>
    <cellStyle name="20% - Ênfase5 10 2" xfId="1625"/>
    <cellStyle name="20% - Ênfase5 2" xfId="80"/>
    <cellStyle name="20% - Ênfase5 2 2" xfId="328"/>
    <cellStyle name="20% - Ênfase5 2 2 2" xfId="329"/>
    <cellStyle name="20% - Ênfase5 2 2 2 2" xfId="1626"/>
    <cellStyle name="20% - Ênfase5 2 2 3" xfId="1627"/>
    <cellStyle name="20% - Ênfase5 2 3" xfId="330"/>
    <cellStyle name="20% - Ênfase5 2 3 2" xfId="331"/>
    <cellStyle name="20% - Ênfase5 2 3 2 2" xfId="1628"/>
    <cellStyle name="20% - Ênfase5 2 3 3" xfId="332"/>
    <cellStyle name="20% - Ênfase5 2 3 3 2" xfId="1629"/>
    <cellStyle name="20% - Ênfase5 2 3 4" xfId="1630"/>
    <cellStyle name="20% - Ênfase5 2 3_Composições" xfId="333"/>
    <cellStyle name="20% - Ênfase5 2 4" xfId="334"/>
    <cellStyle name="20% - Ênfase5 2 4 2" xfId="1631"/>
    <cellStyle name="20% - Ênfase5 2 5" xfId="335"/>
    <cellStyle name="20% - Ênfase5 2 5 2" xfId="1632"/>
    <cellStyle name="20% - Ênfase5 2 6" xfId="327"/>
    <cellStyle name="20% - Ênfase5 2 6 2" xfId="1633"/>
    <cellStyle name="20% - Ênfase5 2 7" xfId="1634"/>
    <cellStyle name="20% - Ênfase5 2_Composições" xfId="336"/>
    <cellStyle name="20% - Ênfase5 3" xfId="337"/>
    <cellStyle name="20% - Ênfase5 3 2" xfId="338"/>
    <cellStyle name="20% - Ênfase5 3 2 2" xfId="1635"/>
    <cellStyle name="20% - Ênfase5 3 3" xfId="1336"/>
    <cellStyle name="20% - Ênfase5 4" xfId="339"/>
    <cellStyle name="20% - Ênfase5 4 2" xfId="340"/>
    <cellStyle name="20% - Ênfase5 4 2 2" xfId="341"/>
    <cellStyle name="20% - Ênfase5 4 2 2 2" xfId="1636"/>
    <cellStyle name="20% - Ênfase5 4 2 3" xfId="342"/>
    <cellStyle name="20% - Ênfase5 4 2 3 2" xfId="1637"/>
    <cellStyle name="20% - Ênfase5 4 2 4" xfId="1638"/>
    <cellStyle name="20% - Ênfase5 4 2_Composições" xfId="343"/>
    <cellStyle name="20% - Ênfase5 4 3" xfId="344"/>
    <cellStyle name="20% - Ênfase5 4 3 2" xfId="1639"/>
    <cellStyle name="20% - Ênfase5 4 4" xfId="345"/>
    <cellStyle name="20% - Ênfase5 4 4 2" xfId="1640"/>
    <cellStyle name="20% - Ênfase5 4 5" xfId="1641"/>
    <cellStyle name="20% - Ênfase5 4_Composições" xfId="346"/>
    <cellStyle name="20% - Ênfase5 5" xfId="347"/>
    <cellStyle name="20% - Ênfase5 5 2" xfId="1642"/>
    <cellStyle name="20% - Ênfase5 6" xfId="348"/>
    <cellStyle name="20% - Ênfase5 6 2" xfId="1643"/>
    <cellStyle name="20% - Ênfase5 7" xfId="349"/>
    <cellStyle name="20% - Ênfase5 7 2" xfId="1644"/>
    <cellStyle name="20% - Ênfase5 8" xfId="350"/>
    <cellStyle name="20% - Ênfase5 8 2" xfId="1645"/>
    <cellStyle name="20% - Ênfase5 9" xfId="351"/>
    <cellStyle name="20% - Ênfase5 9 2" xfId="1646"/>
    <cellStyle name="20% - Ênfase6 10" xfId="352"/>
    <cellStyle name="20% - Ênfase6 10 2" xfId="1647"/>
    <cellStyle name="20% - Ênfase6 2" xfId="81"/>
    <cellStyle name="20% - Ênfase6 2 2" xfId="354"/>
    <cellStyle name="20% - Ênfase6 2 2 2" xfId="355"/>
    <cellStyle name="20% - Ênfase6 2 2 2 2" xfId="1648"/>
    <cellStyle name="20% - Ênfase6 2 2 3" xfId="1649"/>
    <cellStyle name="20% - Ênfase6 2 3" xfId="356"/>
    <cellStyle name="20% - Ênfase6 2 3 2" xfId="357"/>
    <cellStyle name="20% - Ênfase6 2 3 2 2" xfId="1650"/>
    <cellStyle name="20% - Ênfase6 2 3 3" xfId="358"/>
    <cellStyle name="20% - Ênfase6 2 3 3 2" xfId="1651"/>
    <cellStyle name="20% - Ênfase6 2 3 4" xfId="1652"/>
    <cellStyle name="20% - Ênfase6 2 3_Composições" xfId="359"/>
    <cellStyle name="20% - Ênfase6 2 4" xfId="360"/>
    <cellStyle name="20% - Ênfase6 2 4 2" xfId="1653"/>
    <cellStyle name="20% - Ênfase6 2 5" xfId="361"/>
    <cellStyle name="20% - Ênfase6 2 5 2" xfId="1654"/>
    <cellStyle name="20% - Ênfase6 2 6" xfId="353"/>
    <cellStyle name="20% - Ênfase6 2 6 2" xfId="1655"/>
    <cellStyle name="20% - Ênfase6 2 7" xfId="1656"/>
    <cellStyle name="20% - Ênfase6 2_Composições" xfId="362"/>
    <cellStyle name="20% - Ênfase6 3" xfId="363"/>
    <cellStyle name="20% - Ênfase6 3 2" xfId="364"/>
    <cellStyle name="20% - Ênfase6 3 2 2" xfId="1657"/>
    <cellStyle name="20% - Ênfase6 3 3" xfId="1337"/>
    <cellStyle name="20% - Ênfase6 4" xfId="365"/>
    <cellStyle name="20% - Ênfase6 4 2" xfId="366"/>
    <cellStyle name="20% - Ênfase6 4 2 2" xfId="367"/>
    <cellStyle name="20% - Ênfase6 4 2 2 2" xfId="1658"/>
    <cellStyle name="20% - Ênfase6 4 2 3" xfId="368"/>
    <cellStyle name="20% - Ênfase6 4 2 3 2" xfId="1659"/>
    <cellStyle name="20% - Ênfase6 4 2 4" xfId="1660"/>
    <cellStyle name="20% - Ênfase6 4 2_Composições" xfId="369"/>
    <cellStyle name="20% - Ênfase6 4 3" xfId="370"/>
    <cellStyle name="20% - Ênfase6 4 3 2" xfId="1661"/>
    <cellStyle name="20% - Ênfase6 4 4" xfId="371"/>
    <cellStyle name="20% - Ênfase6 4 4 2" xfId="1662"/>
    <cellStyle name="20% - Ênfase6 4 5" xfId="1663"/>
    <cellStyle name="20% - Ênfase6 4_Composições" xfId="372"/>
    <cellStyle name="20% - Ênfase6 5" xfId="373"/>
    <cellStyle name="20% - Ênfase6 5 2" xfId="1664"/>
    <cellStyle name="20% - Ênfase6 6" xfId="374"/>
    <cellStyle name="20% - Ênfase6 6 2" xfId="1665"/>
    <cellStyle name="20% - Ênfase6 7" xfId="375"/>
    <cellStyle name="20% - Ênfase6 7 2" xfId="1666"/>
    <cellStyle name="20% - Ênfase6 8" xfId="376"/>
    <cellStyle name="20% - Ênfase6 8 2" xfId="1667"/>
    <cellStyle name="20% - Ênfase6 9" xfId="377"/>
    <cellStyle name="20% - Ênfase6 9 2" xfId="1668"/>
    <cellStyle name="40% - Accent1" xfId="378"/>
    <cellStyle name="40% - Accent1 2" xfId="379"/>
    <cellStyle name="40% - Accent1 2 2" xfId="1669"/>
    <cellStyle name="40% - Accent1 3" xfId="1670"/>
    <cellStyle name="40% - Accent2" xfId="380"/>
    <cellStyle name="40% - Accent2 2" xfId="381"/>
    <cellStyle name="40% - Accent2 2 2" xfId="1671"/>
    <cellStyle name="40% - Accent2 3" xfId="1672"/>
    <cellStyle name="40% - Accent3" xfId="382"/>
    <cellStyle name="40% - Accent3 2" xfId="383"/>
    <cellStyle name="40% - Accent3 2 2" xfId="1673"/>
    <cellStyle name="40% - Accent3 3" xfId="1674"/>
    <cellStyle name="40% - Accent4" xfId="384"/>
    <cellStyle name="40% - Accent4 2" xfId="385"/>
    <cellStyle name="40% - Accent4 2 2" xfId="1675"/>
    <cellStyle name="40% - Accent4 3" xfId="1676"/>
    <cellStyle name="40% - Accent5" xfId="386"/>
    <cellStyle name="40% - Accent5 2" xfId="387"/>
    <cellStyle name="40% - Accent5 2 2" xfId="1677"/>
    <cellStyle name="40% - Accent5 3" xfId="1678"/>
    <cellStyle name="40% - Accent6" xfId="388"/>
    <cellStyle name="40% - Accent6 2" xfId="389"/>
    <cellStyle name="40% - Accent6 2 2" xfId="1679"/>
    <cellStyle name="40% - Accent6 3" xfId="1680"/>
    <cellStyle name="40% - Ênfase1 10" xfId="390"/>
    <cellStyle name="40% - Ênfase1 10 2" xfId="1681"/>
    <cellStyle name="40% - Ênfase1 2" xfId="82"/>
    <cellStyle name="40% - Ênfase1 2 2" xfId="392"/>
    <cellStyle name="40% - Ênfase1 2 2 2" xfId="393"/>
    <cellStyle name="40% - Ênfase1 2 2 2 2" xfId="1682"/>
    <cellStyle name="40% - Ênfase1 2 2 3" xfId="1683"/>
    <cellStyle name="40% - Ênfase1 2 3" xfId="394"/>
    <cellStyle name="40% - Ênfase1 2 3 2" xfId="395"/>
    <cellStyle name="40% - Ênfase1 2 3 2 2" xfId="1684"/>
    <cellStyle name="40% - Ênfase1 2 3 3" xfId="396"/>
    <cellStyle name="40% - Ênfase1 2 3 3 2" xfId="1685"/>
    <cellStyle name="40% - Ênfase1 2 3 4" xfId="1686"/>
    <cellStyle name="40% - Ênfase1 2 3_Composições" xfId="397"/>
    <cellStyle name="40% - Ênfase1 2 4" xfId="398"/>
    <cellStyle name="40% - Ênfase1 2 4 2" xfId="1687"/>
    <cellStyle name="40% - Ênfase1 2 5" xfId="399"/>
    <cellStyle name="40% - Ênfase1 2 5 2" xfId="1688"/>
    <cellStyle name="40% - Ênfase1 2 6" xfId="391"/>
    <cellStyle name="40% - Ênfase1 2 6 2" xfId="1689"/>
    <cellStyle name="40% - Ênfase1 2 7" xfId="1690"/>
    <cellStyle name="40% - Ênfase1 2_Composições" xfId="400"/>
    <cellStyle name="40% - Ênfase1 3" xfId="401"/>
    <cellStyle name="40% - Ênfase1 3 2" xfId="402"/>
    <cellStyle name="40% - Ênfase1 3 2 2" xfId="1691"/>
    <cellStyle name="40% - Ênfase1 3 3" xfId="1338"/>
    <cellStyle name="40% - Ênfase1 4" xfId="403"/>
    <cellStyle name="40% - Ênfase1 4 2" xfId="404"/>
    <cellStyle name="40% - Ênfase1 4 2 2" xfId="405"/>
    <cellStyle name="40% - Ênfase1 4 2 2 2" xfId="1692"/>
    <cellStyle name="40% - Ênfase1 4 2 3" xfId="406"/>
    <cellStyle name="40% - Ênfase1 4 2 3 2" xfId="1693"/>
    <cellStyle name="40% - Ênfase1 4 2 4" xfId="1694"/>
    <cellStyle name="40% - Ênfase1 4 2_Composições" xfId="407"/>
    <cellStyle name="40% - Ênfase1 4 3" xfId="408"/>
    <cellStyle name="40% - Ênfase1 4 3 2" xfId="1695"/>
    <cellStyle name="40% - Ênfase1 4 4" xfId="409"/>
    <cellStyle name="40% - Ênfase1 4 4 2" xfId="1696"/>
    <cellStyle name="40% - Ênfase1 4 5" xfId="1697"/>
    <cellStyle name="40% - Ênfase1 4_Composições" xfId="410"/>
    <cellStyle name="40% - Ênfase1 5" xfId="411"/>
    <cellStyle name="40% - Ênfase1 5 2" xfId="1698"/>
    <cellStyle name="40% - Ênfase1 6" xfId="412"/>
    <cellStyle name="40% - Ênfase1 6 2" xfId="1699"/>
    <cellStyle name="40% - Ênfase1 7" xfId="413"/>
    <cellStyle name="40% - Ênfase1 7 2" xfId="1700"/>
    <cellStyle name="40% - Ênfase1 8" xfId="414"/>
    <cellStyle name="40% - Ênfase1 8 2" xfId="1701"/>
    <cellStyle name="40% - Ênfase1 9" xfId="415"/>
    <cellStyle name="40% - Ênfase1 9 2" xfId="1702"/>
    <cellStyle name="40% - Ênfase2 10" xfId="416"/>
    <cellStyle name="40% - Ênfase2 10 2" xfId="1703"/>
    <cellStyle name="40% - Ênfase2 2" xfId="83"/>
    <cellStyle name="40% - Ênfase2 2 2" xfId="418"/>
    <cellStyle name="40% - Ênfase2 2 2 2" xfId="419"/>
    <cellStyle name="40% - Ênfase2 2 2 2 2" xfId="1704"/>
    <cellStyle name="40% - Ênfase2 2 2 3" xfId="1705"/>
    <cellStyle name="40% - Ênfase2 2 3" xfId="420"/>
    <cellStyle name="40% - Ênfase2 2 3 2" xfId="421"/>
    <cellStyle name="40% - Ênfase2 2 3 2 2" xfId="1706"/>
    <cellStyle name="40% - Ênfase2 2 3 3" xfId="422"/>
    <cellStyle name="40% - Ênfase2 2 3 3 2" xfId="1707"/>
    <cellStyle name="40% - Ênfase2 2 3 4" xfId="1708"/>
    <cellStyle name="40% - Ênfase2 2 3_Composições" xfId="423"/>
    <cellStyle name="40% - Ênfase2 2 4" xfId="424"/>
    <cellStyle name="40% - Ênfase2 2 4 2" xfId="1709"/>
    <cellStyle name="40% - Ênfase2 2 5" xfId="425"/>
    <cellStyle name="40% - Ênfase2 2 5 2" xfId="1710"/>
    <cellStyle name="40% - Ênfase2 2 6" xfId="417"/>
    <cellStyle name="40% - Ênfase2 2 6 2" xfId="1711"/>
    <cellStyle name="40% - Ênfase2 2 7" xfId="1712"/>
    <cellStyle name="40% - Ênfase2 2_Composições" xfId="426"/>
    <cellStyle name="40% - Ênfase2 3" xfId="427"/>
    <cellStyle name="40% - Ênfase2 3 2" xfId="428"/>
    <cellStyle name="40% - Ênfase2 3 2 2" xfId="1713"/>
    <cellStyle name="40% - Ênfase2 3 3" xfId="1339"/>
    <cellStyle name="40% - Ênfase2 4" xfId="429"/>
    <cellStyle name="40% - Ênfase2 4 2" xfId="430"/>
    <cellStyle name="40% - Ênfase2 4 2 2" xfId="431"/>
    <cellStyle name="40% - Ênfase2 4 2 2 2" xfId="1714"/>
    <cellStyle name="40% - Ênfase2 4 2 3" xfId="432"/>
    <cellStyle name="40% - Ênfase2 4 2 3 2" xfId="1715"/>
    <cellStyle name="40% - Ênfase2 4 2 4" xfId="1716"/>
    <cellStyle name="40% - Ênfase2 4 2_Composições" xfId="433"/>
    <cellStyle name="40% - Ênfase2 4 3" xfId="434"/>
    <cellStyle name="40% - Ênfase2 4 3 2" xfId="1717"/>
    <cellStyle name="40% - Ênfase2 4 4" xfId="435"/>
    <cellStyle name="40% - Ênfase2 4 4 2" xfId="1718"/>
    <cellStyle name="40% - Ênfase2 4 5" xfId="1719"/>
    <cellStyle name="40% - Ênfase2 4_Composições" xfId="436"/>
    <cellStyle name="40% - Ênfase2 5" xfId="437"/>
    <cellStyle name="40% - Ênfase2 5 2" xfId="1720"/>
    <cellStyle name="40% - Ênfase2 6" xfId="438"/>
    <cellStyle name="40% - Ênfase2 6 2" xfId="1721"/>
    <cellStyle name="40% - Ênfase2 7" xfId="439"/>
    <cellStyle name="40% - Ênfase2 7 2" xfId="1722"/>
    <cellStyle name="40% - Ênfase2 8" xfId="440"/>
    <cellStyle name="40% - Ênfase2 8 2" xfId="1723"/>
    <cellStyle name="40% - Ênfase2 9" xfId="441"/>
    <cellStyle name="40% - Ênfase2 9 2" xfId="1724"/>
    <cellStyle name="40% - Ênfase3 10" xfId="442"/>
    <cellStyle name="40% - Ênfase3 10 2" xfId="1725"/>
    <cellStyle name="40% - Ênfase3 2" xfId="84"/>
    <cellStyle name="40% - Ênfase3 2 2" xfId="444"/>
    <cellStyle name="40% - Ênfase3 2 2 2" xfId="445"/>
    <cellStyle name="40% - Ênfase3 2 2 2 2" xfId="1726"/>
    <cellStyle name="40% - Ênfase3 2 2 3" xfId="1727"/>
    <cellStyle name="40% - Ênfase3 2 3" xfId="446"/>
    <cellStyle name="40% - Ênfase3 2 3 2" xfId="447"/>
    <cellStyle name="40% - Ênfase3 2 3 2 2" xfId="1728"/>
    <cellStyle name="40% - Ênfase3 2 3 3" xfId="448"/>
    <cellStyle name="40% - Ênfase3 2 3 3 2" xfId="1729"/>
    <cellStyle name="40% - Ênfase3 2 3 4" xfId="1730"/>
    <cellStyle name="40% - Ênfase3 2 3_Composições" xfId="449"/>
    <cellStyle name="40% - Ênfase3 2 4" xfId="450"/>
    <cellStyle name="40% - Ênfase3 2 4 2" xfId="1731"/>
    <cellStyle name="40% - Ênfase3 2 5" xfId="451"/>
    <cellStyle name="40% - Ênfase3 2 5 2" xfId="1732"/>
    <cellStyle name="40% - Ênfase3 2 6" xfId="443"/>
    <cellStyle name="40% - Ênfase3 2 6 2" xfId="1733"/>
    <cellStyle name="40% - Ênfase3 2 7" xfId="1734"/>
    <cellStyle name="40% - Ênfase3 2_Composições" xfId="452"/>
    <cellStyle name="40% - Ênfase3 3" xfId="453"/>
    <cellStyle name="40% - Ênfase3 3 2" xfId="454"/>
    <cellStyle name="40% - Ênfase3 3 2 2" xfId="455"/>
    <cellStyle name="40% - Ênfase3 3 2 2 2" xfId="1735"/>
    <cellStyle name="40% - Ênfase3 3 2 3" xfId="456"/>
    <cellStyle name="40% - Ênfase3 3 2 3 2" xfId="1736"/>
    <cellStyle name="40% - Ênfase3 3 2 4" xfId="1737"/>
    <cellStyle name="40% - Ênfase3 3 2_Composições" xfId="457"/>
    <cellStyle name="40% - Ênfase3 3 3" xfId="458"/>
    <cellStyle name="40% - Ênfase3 3 3 2" xfId="1738"/>
    <cellStyle name="40% - Ênfase3 3 4" xfId="459"/>
    <cellStyle name="40% - Ênfase3 3 4 2" xfId="1739"/>
    <cellStyle name="40% - Ênfase3 3 5" xfId="1740"/>
    <cellStyle name="40% - Ênfase3 3_Composições" xfId="460"/>
    <cellStyle name="40% - Ênfase3 4" xfId="461"/>
    <cellStyle name="40% - Ênfase3 4 2" xfId="462"/>
    <cellStyle name="40% - Ênfase3 4 2 2" xfId="1741"/>
    <cellStyle name="40% - Ênfase3 4 3" xfId="1742"/>
    <cellStyle name="40% - Ênfase3 5" xfId="463"/>
    <cellStyle name="40% - Ênfase3 5 2" xfId="464"/>
    <cellStyle name="40% - Ênfase3 5 2 2" xfId="465"/>
    <cellStyle name="40% - Ênfase3 5 2 2 2" xfId="1743"/>
    <cellStyle name="40% - Ênfase3 5 2 3" xfId="466"/>
    <cellStyle name="40% - Ênfase3 5 2 3 2" xfId="1744"/>
    <cellStyle name="40% - Ênfase3 5 2 4" xfId="1745"/>
    <cellStyle name="40% - Ênfase3 5 2_Composições" xfId="467"/>
    <cellStyle name="40% - Ênfase3 5 3" xfId="468"/>
    <cellStyle name="40% - Ênfase3 5 3 2" xfId="1746"/>
    <cellStyle name="40% - Ênfase3 5 4" xfId="469"/>
    <cellStyle name="40% - Ênfase3 5 4 2" xfId="1747"/>
    <cellStyle name="40% - Ênfase3 5 5" xfId="1748"/>
    <cellStyle name="40% - Ênfase3 5_Composições" xfId="470"/>
    <cellStyle name="40% - Ênfase3 6" xfId="471"/>
    <cellStyle name="40% - Ênfase3 6 2" xfId="1749"/>
    <cellStyle name="40% - Ênfase3 7" xfId="472"/>
    <cellStyle name="40% - Ênfase3 7 2" xfId="1750"/>
    <cellStyle name="40% - Ênfase3 8" xfId="473"/>
    <cellStyle name="40% - Ênfase3 8 2" xfId="1751"/>
    <cellStyle name="40% - Ênfase3 9" xfId="474"/>
    <cellStyle name="40% - Ênfase3 9 2" xfId="1752"/>
    <cellStyle name="40% - Ênfase4 10" xfId="475"/>
    <cellStyle name="40% - Ênfase4 10 2" xfId="1753"/>
    <cellStyle name="40% - Ênfase4 2" xfId="85"/>
    <cellStyle name="40% - Ênfase4 2 2" xfId="477"/>
    <cellStyle name="40% - Ênfase4 2 2 2" xfId="478"/>
    <cellStyle name="40% - Ênfase4 2 2 2 2" xfId="1754"/>
    <cellStyle name="40% - Ênfase4 2 2 3" xfId="1755"/>
    <cellStyle name="40% - Ênfase4 2 3" xfId="479"/>
    <cellStyle name="40% - Ênfase4 2 3 2" xfId="480"/>
    <cellStyle name="40% - Ênfase4 2 3 2 2" xfId="1756"/>
    <cellStyle name="40% - Ênfase4 2 3 3" xfId="481"/>
    <cellStyle name="40% - Ênfase4 2 3 3 2" xfId="1757"/>
    <cellStyle name="40% - Ênfase4 2 3 4" xfId="1758"/>
    <cellStyle name="40% - Ênfase4 2 3_Composições" xfId="482"/>
    <cellStyle name="40% - Ênfase4 2 4" xfId="483"/>
    <cellStyle name="40% - Ênfase4 2 4 2" xfId="1759"/>
    <cellStyle name="40% - Ênfase4 2 5" xfId="484"/>
    <cellStyle name="40% - Ênfase4 2 5 2" xfId="1760"/>
    <cellStyle name="40% - Ênfase4 2 6" xfId="476"/>
    <cellStyle name="40% - Ênfase4 2 6 2" xfId="1761"/>
    <cellStyle name="40% - Ênfase4 2 7" xfId="1762"/>
    <cellStyle name="40% - Ênfase4 2_Composições" xfId="485"/>
    <cellStyle name="40% - Ênfase4 3" xfId="486"/>
    <cellStyle name="40% - Ênfase4 3 2" xfId="487"/>
    <cellStyle name="40% - Ênfase4 3 2 2" xfId="1763"/>
    <cellStyle name="40% - Ênfase4 3 3" xfId="1340"/>
    <cellStyle name="40% - Ênfase4 4" xfId="488"/>
    <cellStyle name="40% - Ênfase4 4 2" xfId="489"/>
    <cellStyle name="40% - Ênfase4 4 2 2" xfId="490"/>
    <cellStyle name="40% - Ênfase4 4 2 2 2" xfId="1764"/>
    <cellStyle name="40% - Ênfase4 4 2 3" xfId="491"/>
    <cellStyle name="40% - Ênfase4 4 2 3 2" xfId="1765"/>
    <cellStyle name="40% - Ênfase4 4 2 4" xfId="1766"/>
    <cellStyle name="40% - Ênfase4 4 2_Composições" xfId="492"/>
    <cellStyle name="40% - Ênfase4 4 3" xfId="493"/>
    <cellStyle name="40% - Ênfase4 4 3 2" xfId="1767"/>
    <cellStyle name="40% - Ênfase4 4 4" xfId="494"/>
    <cellStyle name="40% - Ênfase4 4 4 2" xfId="1768"/>
    <cellStyle name="40% - Ênfase4 4 5" xfId="1769"/>
    <cellStyle name="40% - Ênfase4 4_Composições" xfId="495"/>
    <cellStyle name="40% - Ênfase4 5" xfId="496"/>
    <cellStyle name="40% - Ênfase4 5 2" xfId="1770"/>
    <cellStyle name="40% - Ênfase4 6" xfId="497"/>
    <cellStyle name="40% - Ênfase4 6 2" xfId="1771"/>
    <cellStyle name="40% - Ênfase4 7" xfId="498"/>
    <cellStyle name="40% - Ênfase4 7 2" xfId="1772"/>
    <cellStyle name="40% - Ênfase4 8" xfId="499"/>
    <cellStyle name="40% - Ênfase4 8 2" xfId="1773"/>
    <cellStyle name="40% - Ênfase4 9" xfId="500"/>
    <cellStyle name="40% - Ênfase4 9 2" xfId="1774"/>
    <cellStyle name="40% - Ênfase5 10" xfId="501"/>
    <cellStyle name="40% - Ênfase5 10 2" xfId="1775"/>
    <cellStyle name="40% - Ênfase5 2" xfId="86"/>
    <cellStyle name="40% - Ênfase5 2 2" xfId="503"/>
    <cellStyle name="40% - Ênfase5 2 2 2" xfId="504"/>
    <cellStyle name="40% - Ênfase5 2 2 2 2" xfId="1776"/>
    <cellStyle name="40% - Ênfase5 2 2 3" xfId="1777"/>
    <cellStyle name="40% - Ênfase5 2 3" xfId="505"/>
    <cellStyle name="40% - Ênfase5 2 3 2" xfId="506"/>
    <cellStyle name="40% - Ênfase5 2 3 2 2" xfId="1778"/>
    <cellStyle name="40% - Ênfase5 2 3 3" xfId="507"/>
    <cellStyle name="40% - Ênfase5 2 3 3 2" xfId="1779"/>
    <cellStyle name="40% - Ênfase5 2 3 4" xfId="1780"/>
    <cellStyle name="40% - Ênfase5 2 3_Composições" xfId="508"/>
    <cellStyle name="40% - Ênfase5 2 4" xfId="509"/>
    <cellStyle name="40% - Ênfase5 2 4 2" xfId="1781"/>
    <cellStyle name="40% - Ênfase5 2 5" xfId="510"/>
    <cellStyle name="40% - Ênfase5 2 5 2" xfId="1782"/>
    <cellStyle name="40% - Ênfase5 2 6" xfId="502"/>
    <cellStyle name="40% - Ênfase5 2 6 2" xfId="1783"/>
    <cellStyle name="40% - Ênfase5 2 7" xfId="1784"/>
    <cellStyle name="40% - Ênfase5 2_Composições" xfId="511"/>
    <cellStyle name="40% - Ênfase5 3" xfId="512"/>
    <cellStyle name="40% - Ênfase5 3 2" xfId="513"/>
    <cellStyle name="40% - Ênfase5 3 2 2" xfId="1785"/>
    <cellStyle name="40% - Ênfase5 3 3" xfId="1341"/>
    <cellStyle name="40% - Ênfase5 4" xfId="514"/>
    <cellStyle name="40% - Ênfase5 4 2" xfId="515"/>
    <cellStyle name="40% - Ênfase5 4 2 2" xfId="516"/>
    <cellStyle name="40% - Ênfase5 4 2 2 2" xfId="1786"/>
    <cellStyle name="40% - Ênfase5 4 2 3" xfId="517"/>
    <cellStyle name="40% - Ênfase5 4 2 3 2" xfId="1787"/>
    <cellStyle name="40% - Ênfase5 4 2 4" xfId="1788"/>
    <cellStyle name="40% - Ênfase5 4 2_Composições" xfId="518"/>
    <cellStyle name="40% - Ênfase5 4 3" xfId="519"/>
    <cellStyle name="40% - Ênfase5 4 3 2" xfId="1789"/>
    <cellStyle name="40% - Ênfase5 4 4" xfId="520"/>
    <cellStyle name="40% - Ênfase5 4 4 2" xfId="1790"/>
    <cellStyle name="40% - Ênfase5 4 5" xfId="1791"/>
    <cellStyle name="40% - Ênfase5 4_Composições" xfId="521"/>
    <cellStyle name="40% - Ênfase5 5" xfId="522"/>
    <cellStyle name="40% - Ênfase5 5 2" xfId="1792"/>
    <cellStyle name="40% - Ênfase5 6" xfId="523"/>
    <cellStyle name="40% - Ênfase5 6 2" xfId="1793"/>
    <cellStyle name="40% - Ênfase5 7" xfId="524"/>
    <cellStyle name="40% - Ênfase5 7 2" xfId="1794"/>
    <cellStyle name="40% - Ênfase5 8" xfId="525"/>
    <cellStyle name="40% - Ênfase5 8 2" xfId="1795"/>
    <cellStyle name="40% - Ênfase5 9" xfId="526"/>
    <cellStyle name="40% - Ênfase5 9 2" xfId="1796"/>
    <cellStyle name="40% - Ênfase6 10" xfId="527"/>
    <cellStyle name="40% - Ênfase6 10 2" xfId="1797"/>
    <cellStyle name="40% - Ênfase6 2" xfId="87"/>
    <cellStyle name="40% - Ênfase6 2 2" xfId="529"/>
    <cellStyle name="40% - Ênfase6 2 2 2" xfId="530"/>
    <cellStyle name="40% - Ênfase6 2 2 2 2" xfId="1798"/>
    <cellStyle name="40% - Ênfase6 2 2 3" xfId="1799"/>
    <cellStyle name="40% - Ênfase6 2 3" xfId="531"/>
    <cellStyle name="40% - Ênfase6 2 3 2" xfId="532"/>
    <cellStyle name="40% - Ênfase6 2 3 2 2" xfId="1800"/>
    <cellStyle name="40% - Ênfase6 2 3 3" xfId="533"/>
    <cellStyle name="40% - Ênfase6 2 3 3 2" xfId="1801"/>
    <cellStyle name="40% - Ênfase6 2 3 4" xfId="1802"/>
    <cellStyle name="40% - Ênfase6 2 3_Composições" xfId="534"/>
    <cellStyle name="40% - Ênfase6 2 4" xfId="535"/>
    <cellStyle name="40% - Ênfase6 2 4 2" xfId="1803"/>
    <cellStyle name="40% - Ênfase6 2 5" xfId="536"/>
    <cellStyle name="40% - Ênfase6 2 5 2" xfId="1804"/>
    <cellStyle name="40% - Ênfase6 2 6" xfId="528"/>
    <cellStyle name="40% - Ênfase6 2 6 2" xfId="1805"/>
    <cellStyle name="40% - Ênfase6 2 7" xfId="1806"/>
    <cellStyle name="40% - Ênfase6 2_Composições" xfId="537"/>
    <cellStyle name="40% - Ênfase6 3" xfId="538"/>
    <cellStyle name="40% - Ênfase6 3 2" xfId="539"/>
    <cellStyle name="40% - Ênfase6 3 2 2" xfId="1807"/>
    <cellStyle name="40% - Ênfase6 3 3" xfId="1342"/>
    <cellStyle name="40% - Ênfase6 4" xfId="540"/>
    <cellStyle name="40% - Ênfase6 4 2" xfId="541"/>
    <cellStyle name="40% - Ênfase6 4 2 2" xfId="542"/>
    <cellStyle name="40% - Ênfase6 4 2 2 2" xfId="1808"/>
    <cellStyle name="40% - Ênfase6 4 2 3" xfId="543"/>
    <cellStyle name="40% - Ênfase6 4 2 3 2" xfId="1809"/>
    <cellStyle name="40% - Ênfase6 4 2 4" xfId="1810"/>
    <cellStyle name="40% - Ênfase6 4 2_Composições" xfId="544"/>
    <cellStyle name="40% - Ênfase6 4 3" xfId="545"/>
    <cellStyle name="40% - Ênfase6 4 3 2" xfId="1811"/>
    <cellStyle name="40% - Ênfase6 4 4" xfId="546"/>
    <cellStyle name="40% - Ênfase6 4 4 2" xfId="1812"/>
    <cellStyle name="40% - Ênfase6 4 5" xfId="1813"/>
    <cellStyle name="40% - Ênfase6 4_Composições" xfId="547"/>
    <cellStyle name="40% - Ênfase6 5" xfId="548"/>
    <cellStyle name="40% - Ênfase6 5 2" xfId="1814"/>
    <cellStyle name="40% - Ênfase6 6" xfId="549"/>
    <cellStyle name="40% - Ênfase6 6 2" xfId="1815"/>
    <cellStyle name="40% - Ênfase6 7" xfId="550"/>
    <cellStyle name="40% - Ênfase6 7 2" xfId="1816"/>
    <cellStyle name="40% - Ênfase6 8" xfId="551"/>
    <cellStyle name="40% - Ênfase6 8 2" xfId="1817"/>
    <cellStyle name="40% - Ênfase6 9" xfId="552"/>
    <cellStyle name="40% - Ênfase6 9 2" xfId="1818"/>
    <cellStyle name="60% - Accent1" xfId="553"/>
    <cellStyle name="60% - Accent1 2" xfId="554"/>
    <cellStyle name="60% - Accent1 2 2" xfId="1819"/>
    <cellStyle name="60% - Accent1 3" xfId="1820"/>
    <cellStyle name="60% - Accent2" xfId="555"/>
    <cellStyle name="60% - Accent2 2" xfId="556"/>
    <cellStyle name="60% - Accent2 2 2" xfId="1821"/>
    <cellStyle name="60% - Accent2 3" xfId="1822"/>
    <cellStyle name="60% - Accent3" xfId="557"/>
    <cellStyle name="60% - Accent3 2" xfId="558"/>
    <cellStyle name="60% - Accent3 2 2" xfId="1823"/>
    <cellStyle name="60% - Accent3 3" xfId="1824"/>
    <cellStyle name="60% - Accent4" xfId="559"/>
    <cellStyle name="60% - Accent4 2" xfId="560"/>
    <cellStyle name="60% - Accent4 2 2" xfId="1825"/>
    <cellStyle name="60% - Accent4 3" xfId="1826"/>
    <cellStyle name="60% - Accent5" xfId="561"/>
    <cellStyle name="60% - Accent5 2" xfId="562"/>
    <cellStyle name="60% - Accent5 2 2" xfId="1827"/>
    <cellStyle name="60% - Accent5 3" xfId="1828"/>
    <cellStyle name="60% - Accent6" xfId="563"/>
    <cellStyle name="60% - Accent6 2" xfId="564"/>
    <cellStyle name="60% - Accent6 2 2" xfId="1829"/>
    <cellStyle name="60% - Accent6 3" xfId="1830"/>
    <cellStyle name="60% - Ênfase1 2" xfId="88"/>
    <cellStyle name="60% - Ênfase1 2 2" xfId="566"/>
    <cellStyle name="60% - Ênfase1 2 2 2" xfId="567"/>
    <cellStyle name="60% - Ênfase1 2 2 2 2" xfId="1831"/>
    <cellStyle name="60% - Ênfase1 2 2 3" xfId="1832"/>
    <cellStyle name="60% - Ênfase1 2 3" xfId="568"/>
    <cellStyle name="60% - Ênfase1 2 3 2" xfId="1833"/>
    <cellStyle name="60% - Ênfase1 2 4" xfId="565"/>
    <cellStyle name="60% - Ênfase1 2 4 2" xfId="1834"/>
    <cellStyle name="60% - Ênfase1 2 5" xfId="1835"/>
    <cellStyle name="60% - Ênfase1 2_Composições" xfId="569"/>
    <cellStyle name="60% - Ênfase1 3" xfId="570"/>
    <cellStyle name="60% - Ênfase1 3 2" xfId="571"/>
    <cellStyle name="60% - Ênfase1 3 2 2" xfId="1836"/>
    <cellStyle name="60% - Ênfase1 3 3" xfId="1343"/>
    <cellStyle name="60% - Ênfase1 4" xfId="572"/>
    <cellStyle name="60% - Ênfase1 4 2" xfId="1837"/>
    <cellStyle name="60% - Ênfase1 5" xfId="573"/>
    <cellStyle name="60% - Ênfase1 5 2" xfId="1838"/>
    <cellStyle name="60% - Ênfase1 6" xfId="574"/>
    <cellStyle name="60% - Ênfase1 6 2" xfId="1839"/>
    <cellStyle name="60% - Ênfase1 7" xfId="575"/>
    <cellStyle name="60% - Ênfase1 7 2" xfId="1840"/>
    <cellStyle name="60% - Ênfase2 2" xfId="89"/>
    <cellStyle name="60% - Ênfase2 2 2" xfId="577"/>
    <cellStyle name="60% - Ênfase2 2 2 2" xfId="578"/>
    <cellStyle name="60% - Ênfase2 2 2 2 2" xfId="1841"/>
    <cellStyle name="60% - Ênfase2 2 2 3" xfId="1842"/>
    <cellStyle name="60% - Ênfase2 2 3" xfId="579"/>
    <cellStyle name="60% - Ênfase2 2 3 2" xfId="1843"/>
    <cellStyle name="60% - Ênfase2 2 4" xfId="576"/>
    <cellStyle name="60% - Ênfase2 2 4 2" xfId="1844"/>
    <cellStyle name="60% - Ênfase2 2 5" xfId="1845"/>
    <cellStyle name="60% - Ênfase2 2_Composições" xfId="580"/>
    <cellStyle name="60% - Ênfase2 3" xfId="581"/>
    <cellStyle name="60% - Ênfase2 3 2" xfId="582"/>
    <cellStyle name="60% - Ênfase2 3 2 2" xfId="1846"/>
    <cellStyle name="60% - Ênfase2 3 3" xfId="1344"/>
    <cellStyle name="60% - Ênfase2 4" xfId="583"/>
    <cellStyle name="60% - Ênfase2 4 2" xfId="1847"/>
    <cellStyle name="60% - Ênfase2 5" xfId="584"/>
    <cellStyle name="60% - Ênfase2 5 2" xfId="1848"/>
    <cellStyle name="60% - Ênfase2 6" xfId="585"/>
    <cellStyle name="60% - Ênfase2 6 2" xfId="1849"/>
    <cellStyle name="60% - Ênfase2 7" xfId="586"/>
    <cellStyle name="60% - Ênfase2 7 2" xfId="1850"/>
    <cellStyle name="60% - Ênfase3 2" xfId="90"/>
    <cellStyle name="60% - Ênfase3 2 2" xfId="588"/>
    <cellStyle name="60% - Ênfase3 2 2 2" xfId="589"/>
    <cellStyle name="60% - Ênfase3 2 2 2 2" xfId="1851"/>
    <cellStyle name="60% - Ênfase3 2 2 3" xfId="1852"/>
    <cellStyle name="60% - Ênfase3 2 3" xfId="590"/>
    <cellStyle name="60% - Ênfase3 2 3 2" xfId="1853"/>
    <cellStyle name="60% - Ênfase3 2 4" xfId="587"/>
    <cellStyle name="60% - Ênfase3 2 4 2" xfId="1854"/>
    <cellStyle name="60% - Ênfase3 2 5" xfId="1855"/>
    <cellStyle name="60% - Ênfase3 2_Composições" xfId="591"/>
    <cellStyle name="60% - Ênfase3 3" xfId="592"/>
    <cellStyle name="60% - Ênfase3 3 2" xfId="593"/>
    <cellStyle name="60% - Ênfase3 3 2 2" xfId="1856"/>
    <cellStyle name="60% - Ênfase3 3 3" xfId="1345"/>
    <cellStyle name="60% - Ênfase3 3_Composições" xfId="594"/>
    <cellStyle name="60% - Ênfase3 4" xfId="595"/>
    <cellStyle name="60% - Ênfase3 4 2" xfId="596"/>
    <cellStyle name="60% - Ênfase3 4 2 2" xfId="1857"/>
    <cellStyle name="60% - Ênfase3 4 3" xfId="1858"/>
    <cellStyle name="60% - Ênfase3 5" xfId="597"/>
    <cellStyle name="60% - Ênfase3 5 2" xfId="1859"/>
    <cellStyle name="60% - Ênfase3 6" xfId="598"/>
    <cellStyle name="60% - Ênfase3 6 2" xfId="1860"/>
    <cellStyle name="60% - Ênfase3 7" xfId="599"/>
    <cellStyle name="60% - Ênfase3 7 2" xfId="1861"/>
    <cellStyle name="60% - Ênfase3 8" xfId="600"/>
    <cellStyle name="60% - Ênfase3 8 2" xfId="1862"/>
    <cellStyle name="60% - Ênfase4 2" xfId="91"/>
    <cellStyle name="60% - Ênfase4 2 2" xfId="602"/>
    <cellStyle name="60% - Ênfase4 2 2 2" xfId="603"/>
    <cellStyle name="60% - Ênfase4 2 2 2 2" xfId="1863"/>
    <cellStyle name="60% - Ênfase4 2 2 3" xfId="1864"/>
    <cellStyle name="60% - Ênfase4 2 3" xfId="604"/>
    <cellStyle name="60% - Ênfase4 2 3 2" xfId="1865"/>
    <cellStyle name="60% - Ênfase4 2 4" xfId="601"/>
    <cellStyle name="60% - Ênfase4 2 4 2" xfId="1866"/>
    <cellStyle name="60% - Ênfase4 2 5" xfId="1867"/>
    <cellStyle name="60% - Ênfase4 2_Composições" xfId="605"/>
    <cellStyle name="60% - Ênfase4 3" xfId="606"/>
    <cellStyle name="60% - Ênfase4 3 2" xfId="607"/>
    <cellStyle name="60% - Ênfase4 3 2 2" xfId="1868"/>
    <cellStyle name="60% - Ênfase4 3 3" xfId="1346"/>
    <cellStyle name="60% - Ênfase4 3_Composições" xfId="608"/>
    <cellStyle name="60% - Ênfase4 4" xfId="609"/>
    <cellStyle name="60% - Ênfase4 4 2" xfId="610"/>
    <cellStyle name="60% - Ênfase4 4 2 2" xfId="1869"/>
    <cellStyle name="60% - Ênfase4 4 3" xfId="1870"/>
    <cellStyle name="60% - Ênfase4 5" xfId="611"/>
    <cellStyle name="60% - Ênfase4 5 2" xfId="1871"/>
    <cellStyle name="60% - Ênfase4 6" xfId="612"/>
    <cellStyle name="60% - Ênfase4 6 2" xfId="1872"/>
    <cellStyle name="60% - Ênfase4 7" xfId="613"/>
    <cellStyle name="60% - Ênfase4 7 2" xfId="1873"/>
    <cellStyle name="60% - Ênfase4 8" xfId="614"/>
    <cellStyle name="60% - Ênfase4 8 2" xfId="1874"/>
    <cellStyle name="60% - Ênfase5 2" xfId="92"/>
    <cellStyle name="60% - Ênfase5 2 2" xfId="616"/>
    <cellStyle name="60% - Ênfase5 2 2 2" xfId="617"/>
    <cellStyle name="60% - Ênfase5 2 2 2 2" xfId="1875"/>
    <cellStyle name="60% - Ênfase5 2 2 3" xfId="1876"/>
    <cellStyle name="60% - Ênfase5 2 3" xfId="618"/>
    <cellStyle name="60% - Ênfase5 2 3 2" xfId="1877"/>
    <cellStyle name="60% - Ênfase5 2 4" xfId="615"/>
    <cellStyle name="60% - Ênfase5 2 4 2" xfId="1878"/>
    <cellStyle name="60% - Ênfase5 2 5" xfId="1879"/>
    <cellStyle name="60% - Ênfase5 2_Composições" xfId="619"/>
    <cellStyle name="60% - Ênfase5 3" xfId="620"/>
    <cellStyle name="60% - Ênfase5 3 2" xfId="621"/>
    <cellStyle name="60% - Ênfase5 3 2 2" xfId="1880"/>
    <cellStyle name="60% - Ênfase5 3 3" xfId="1347"/>
    <cellStyle name="60% - Ênfase5 4" xfId="622"/>
    <cellStyle name="60% - Ênfase5 4 2" xfId="1881"/>
    <cellStyle name="60% - Ênfase5 5" xfId="623"/>
    <cellStyle name="60% - Ênfase5 5 2" xfId="1882"/>
    <cellStyle name="60% - Ênfase5 6" xfId="624"/>
    <cellStyle name="60% - Ênfase5 6 2" xfId="1883"/>
    <cellStyle name="60% - Ênfase5 7" xfId="625"/>
    <cellStyle name="60% - Ênfase5 7 2" xfId="1884"/>
    <cellStyle name="60% - Ênfase6 2" xfId="93"/>
    <cellStyle name="60% - Ênfase6 2 2" xfId="627"/>
    <cellStyle name="60% - Ênfase6 2 2 2" xfId="628"/>
    <cellStyle name="60% - Ênfase6 2 2 2 2" xfId="1885"/>
    <cellStyle name="60% - Ênfase6 2 2 3" xfId="1886"/>
    <cellStyle name="60% - Ênfase6 2 3" xfId="629"/>
    <cellStyle name="60% - Ênfase6 2 3 2" xfId="1887"/>
    <cellStyle name="60% - Ênfase6 2 4" xfId="626"/>
    <cellStyle name="60% - Ênfase6 2 4 2" xfId="1888"/>
    <cellStyle name="60% - Ênfase6 2 5" xfId="1889"/>
    <cellStyle name="60% - Ênfase6 2_Composições" xfId="630"/>
    <cellStyle name="60% - Ênfase6 3" xfId="631"/>
    <cellStyle name="60% - Ênfase6 3 2" xfId="632"/>
    <cellStyle name="60% - Ênfase6 3 2 2" xfId="1890"/>
    <cellStyle name="60% - Ênfase6 3 3" xfId="1348"/>
    <cellStyle name="60% - Ênfase6 3_Composições" xfId="633"/>
    <cellStyle name="60% - Ênfase6 4" xfId="634"/>
    <cellStyle name="60% - Ênfase6 4 2" xfId="635"/>
    <cellStyle name="60% - Ênfase6 4 2 2" xfId="1891"/>
    <cellStyle name="60% - Ênfase6 4 3" xfId="1892"/>
    <cellStyle name="60% - Ênfase6 5" xfId="636"/>
    <cellStyle name="60% - Ênfase6 5 2" xfId="1893"/>
    <cellStyle name="60% - Ênfase6 6" xfId="637"/>
    <cellStyle name="60% - Ênfase6 6 2" xfId="1894"/>
    <cellStyle name="60% - Ênfase6 7" xfId="638"/>
    <cellStyle name="60% - Ênfase6 7 2" xfId="1895"/>
    <cellStyle name="60% - Ênfase6 8" xfId="639"/>
    <cellStyle name="60% - Ênfase6 8 2" xfId="1896"/>
    <cellStyle name="Accent1" xfId="640"/>
    <cellStyle name="Accent1 2" xfId="641"/>
    <cellStyle name="Accent1 2 2" xfId="1897"/>
    <cellStyle name="Accent1 3" xfId="1898"/>
    <cellStyle name="Accent2" xfId="642"/>
    <cellStyle name="Accent2 2" xfId="643"/>
    <cellStyle name="Accent2 2 2" xfId="1899"/>
    <cellStyle name="Accent2 3" xfId="1900"/>
    <cellStyle name="Accent3" xfId="644"/>
    <cellStyle name="Accent3 2" xfId="645"/>
    <cellStyle name="Accent3 2 2" xfId="1901"/>
    <cellStyle name="Accent3 3" xfId="1902"/>
    <cellStyle name="Accent4" xfId="646"/>
    <cellStyle name="Accent4 2" xfId="647"/>
    <cellStyle name="Accent4 2 2" xfId="1903"/>
    <cellStyle name="Accent4 3" xfId="1904"/>
    <cellStyle name="Accent5" xfId="648"/>
    <cellStyle name="Accent5 2" xfId="649"/>
    <cellStyle name="Accent5 2 2" xfId="1905"/>
    <cellStyle name="Accent5 3" xfId="1906"/>
    <cellStyle name="Accent6" xfId="650"/>
    <cellStyle name="Accent6 2" xfId="651"/>
    <cellStyle name="Accent6 2 2" xfId="1907"/>
    <cellStyle name="Accent6 3" xfId="1908"/>
    <cellStyle name="Bad" xfId="652"/>
    <cellStyle name="Bad 2" xfId="653"/>
    <cellStyle name="Bad 2 2" xfId="1909"/>
    <cellStyle name="Bad 3" xfId="1910"/>
    <cellStyle name="Bom 2" xfId="94"/>
    <cellStyle name="Bom 2 2" xfId="655"/>
    <cellStyle name="Bom 2 2 2" xfId="656"/>
    <cellStyle name="Bom 2 2 2 2" xfId="1911"/>
    <cellStyle name="Bom 2 2 3" xfId="1912"/>
    <cellStyle name="Bom 2 3" xfId="657"/>
    <cellStyle name="Bom 2 3 2" xfId="1913"/>
    <cellStyle name="Bom 2 4" xfId="654"/>
    <cellStyle name="Bom 2 4 2" xfId="1914"/>
    <cellStyle name="Bom 2 5" xfId="1915"/>
    <cellStyle name="Bom 2_Composições" xfId="658"/>
    <cellStyle name="Bom 3" xfId="659"/>
    <cellStyle name="Bom 3 2" xfId="660"/>
    <cellStyle name="Bom 3 2 2" xfId="1916"/>
    <cellStyle name="Bom 3 3" xfId="1349"/>
    <cellStyle name="Bom 4" xfId="661"/>
    <cellStyle name="Bom 4 2" xfId="1917"/>
    <cellStyle name="Bom 5" xfId="662"/>
    <cellStyle name="Bom 5 2" xfId="1918"/>
    <cellStyle name="Bom 6" xfId="663"/>
    <cellStyle name="Bom 6 2" xfId="1919"/>
    <cellStyle name="Bom 7" xfId="664"/>
    <cellStyle name="Bom 7 2" xfId="1920"/>
    <cellStyle name="Calculation" xfId="665"/>
    <cellStyle name="Calculation 2" xfId="666"/>
    <cellStyle name="Calculation 2 2" xfId="1921"/>
    <cellStyle name="Calculation 2 3" xfId="1922"/>
    <cellStyle name="Calculation 3" xfId="1923"/>
    <cellStyle name="Calculation 4" xfId="1924"/>
    <cellStyle name="Cálculo 2" xfId="95"/>
    <cellStyle name="Cálculo 2 2" xfId="668"/>
    <cellStyle name="Cálculo 2 2 2" xfId="669"/>
    <cellStyle name="Cálculo 2 2 2 2" xfId="1925"/>
    <cellStyle name="Cálculo 2 2 2 3" xfId="1926"/>
    <cellStyle name="Cálculo 2 2 3" xfId="1927"/>
    <cellStyle name="Cálculo 2 2 4" xfId="1928"/>
    <cellStyle name="Cálculo 2 3" xfId="670"/>
    <cellStyle name="Cálculo 2 3 2" xfId="1929"/>
    <cellStyle name="Cálculo 2 4" xfId="667"/>
    <cellStyle name="Cálculo 2 4 2" xfId="1930"/>
    <cellStyle name="Cálculo 2 5" xfId="1931"/>
    <cellStyle name="Cálculo 2 6" xfId="1932"/>
    <cellStyle name="Cálculo 2_Composições" xfId="671"/>
    <cellStyle name="Cálculo 3" xfId="672"/>
    <cellStyle name="Cálculo 3 2" xfId="673"/>
    <cellStyle name="Cálculo 3 2 2" xfId="1933"/>
    <cellStyle name="Cálculo 3 2 3" xfId="1934"/>
    <cellStyle name="Cálculo 3 3" xfId="1350"/>
    <cellStyle name="Cálculo 3 4" xfId="1935"/>
    <cellStyle name="Cálculo 4" xfId="674"/>
    <cellStyle name="Cálculo 4 2" xfId="1936"/>
    <cellStyle name="Cálculo 4 3" xfId="1937"/>
    <cellStyle name="Cálculo 5" xfId="675"/>
    <cellStyle name="Cálculo 5 2" xfId="1938"/>
    <cellStyle name="Cálculo 5 3" xfId="1939"/>
    <cellStyle name="Cálculo 6" xfId="676"/>
    <cellStyle name="Cálculo 6 2" xfId="1940"/>
    <cellStyle name="Cálculo 6 3" xfId="1941"/>
    <cellStyle name="Cálculo 7" xfId="677"/>
    <cellStyle name="Cálculo 7 2" xfId="1942"/>
    <cellStyle name="Cálculo 7 3" xfId="1943"/>
    <cellStyle name="Cancel" xfId="678"/>
    <cellStyle name="Cancel 2" xfId="679"/>
    <cellStyle name="Cancel 2 2" xfId="680"/>
    <cellStyle name="Cancel 2 2 2" xfId="681"/>
    <cellStyle name="Cancel 2 2 2 2" xfId="1944"/>
    <cellStyle name="Cancel 2 2 3" xfId="1945"/>
    <cellStyle name="Cancel 2 3" xfId="682"/>
    <cellStyle name="Cancel 2 3 2" xfId="1946"/>
    <cellStyle name="Cancel 2 4" xfId="1947"/>
    <cellStyle name="Cancel 3" xfId="683"/>
    <cellStyle name="Cancel 3 2" xfId="1948"/>
    <cellStyle name="Cancel 3 2 2" xfId="1949"/>
    <cellStyle name="Cancel 3 3" xfId="1950"/>
    <cellStyle name="Cancel 4" xfId="1351"/>
    <cellStyle name="Cancel 4 2" xfId="1951"/>
    <cellStyle name="Cancel 5" xfId="1952"/>
    <cellStyle name="Célula de Verificação 2" xfId="96"/>
    <cellStyle name="Célula de Verificação 2 2" xfId="685"/>
    <cellStyle name="Célula de Verificação 2 2 2" xfId="686"/>
    <cellStyle name="Célula de Verificação 2 2 2 2" xfId="1953"/>
    <cellStyle name="Célula de Verificação 2 2 3" xfId="1954"/>
    <cellStyle name="Célula de Verificação 2 3" xfId="687"/>
    <cellStyle name="Célula de Verificação 2 3 2" xfId="1955"/>
    <cellStyle name="Célula de Verificação 2 4" xfId="684"/>
    <cellStyle name="Célula de Verificação 2 4 2" xfId="1956"/>
    <cellStyle name="Célula de Verificação 2 5" xfId="1957"/>
    <cellStyle name="Célula de Verificação 2_Composições" xfId="688"/>
    <cellStyle name="Célula de Verificação 3" xfId="689"/>
    <cellStyle name="Célula de Verificação 3 2" xfId="690"/>
    <cellStyle name="Célula de Verificação 3 2 2" xfId="1958"/>
    <cellStyle name="Célula de Verificação 3 3" xfId="1352"/>
    <cellStyle name="Célula de Verificação 4" xfId="691"/>
    <cellStyle name="Célula de Verificação 4 2" xfId="1959"/>
    <cellStyle name="Célula de Verificação 5" xfId="692"/>
    <cellStyle name="Célula de Verificação 5 2" xfId="1960"/>
    <cellStyle name="Célula de Verificação 6" xfId="693"/>
    <cellStyle name="Célula de Verificação 6 2" xfId="1961"/>
    <cellStyle name="Célula de Verificação 7" xfId="694"/>
    <cellStyle name="Célula de Verificação 7 2" xfId="1962"/>
    <cellStyle name="Célula Vinculada 2" xfId="97"/>
    <cellStyle name="Célula Vinculada 2 2" xfId="696"/>
    <cellStyle name="Célula Vinculada 2 2 2" xfId="697"/>
    <cellStyle name="Célula Vinculada 2 2 2 2" xfId="1963"/>
    <cellStyle name="Célula Vinculada 2 2 3" xfId="1964"/>
    <cellStyle name="Célula Vinculada 2 3" xfId="698"/>
    <cellStyle name="Célula Vinculada 2 3 2" xfId="1965"/>
    <cellStyle name="Célula Vinculada 2 4" xfId="695"/>
    <cellStyle name="Célula Vinculada 2 4 2" xfId="1966"/>
    <cellStyle name="Célula Vinculada 2 5" xfId="1967"/>
    <cellStyle name="Célula Vinculada 2_Composições" xfId="699"/>
    <cellStyle name="Célula Vinculada 3" xfId="700"/>
    <cellStyle name="Célula Vinculada 3 2" xfId="701"/>
    <cellStyle name="Célula Vinculada 3 2 2" xfId="1968"/>
    <cellStyle name="Célula Vinculada 3 3" xfId="1353"/>
    <cellStyle name="Célula Vinculada 4" xfId="702"/>
    <cellStyle name="Célula Vinculada 4 2" xfId="1969"/>
    <cellStyle name="Célula Vinculada 5" xfId="703"/>
    <cellStyle name="Célula Vinculada 5 2" xfId="1970"/>
    <cellStyle name="Célula Vinculada 6" xfId="704"/>
    <cellStyle name="Célula Vinculada 6 2" xfId="1971"/>
    <cellStyle name="Célula Vinculada 7" xfId="705"/>
    <cellStyle name="Célula Vinculada 7 2" xfId="1972"/>
    <cellStyle name="Check Cell" xfId="706"/>
    <cellStyle name="Check Cell 2" xfId="707"/>
    <cellStyle name="Check Cell 2 2" xfId="1973"/>
    <cellStyle name="Check Cell 3" xfId="1974"/>
    <cellStyle name="Comma_GMB_Planilha Geral de Orçamento CUSTO" xfId="8"/>
    <cellStyle name="Ênfase1 2" xfId="98"/>
    <cellStyle name="Ênfase1 2 2" xfId="709"/>
    <cellStyle name="Ênfase1 2 2 2" xfId="710"/>
    <cellStyle name="Ênfase1 2 2 2 2" xfId="1975"/>
    <cellStyle name="Ênfase1 2 2 3" xfId="1976"/>
    <cellStyle name="Ênfase1 2 3" xfId="711"/>
    <cellStyle name="Ênfase1 2 3 2" xfId="1977"/>
    <cellStyle name="Ênfase1 2 4" xfId="708"/>
    <cellStyle name="Ênfase1 2 4 2" xfId="1978"/>
    <cellStyle name="Ênfase1 2 5" xfId="1979"/>
    <cellStyle name="Ênfase1 2_Composições" xfId="712"/>
    <cellStyle name="Ênfase1 3" xfId="713"/>
    <cellStyle name="Ênfase1 3 2" xfId="714"/>
    <cellStyle name="Ênfase1 3 2 2" xfId="1980"/>
    <cellStyle name="Ênfase1 3 3" xfId="1354"/>
    <cellStyle name="Ênfase1 4" xfId="715"/>
    <cellStyle name="Ênfase1 4 2" xfId="1981"/>
    <cellStyle name="Ênfase1 5" xfId="716"/>
    <cellStyle name="Ênfase1 5 2" xfId="1982"/>
    <cellStyle name="Ênfase1 6" xfId="717"/>
    <cellStyle name="Ênfase1 6 2" xfId="1983"/>
    <cellStyle name="Ênfase1 7" xfId="718"/>
    <cellStyle name="Ênfase1 7 2" xfId="1984"/>
    <cellStyle name="Ênfase2 2" xfId="99"/>
    <cellStyle name="Ênfase2 2 2" xfId="720"/>
    <cellStyle name="Ênfase2 2 2 2" xfId="721"/>
    <cellStyle name="Ênfase2 2 2 2 2" xfId="1985"/>
    <cellStyle name="Ênfase2 2 2 3" xfId="1986"/>
    <cellStyle name="Ênfase2 2 3" xfId="722"/>
    <cellStyle name="Ênfase2 2 3 2" xfId="1987"/>
    <cellStyle name="Ênfase2 2 4" xfId="719"/>
    <cellStyle name="Ênfase2 2 4 2" xfId="1988"/>
    <cellStyle name="Ênfase2 2 5" xfId="1989"/>
    <cellStyle name="Ênfase2 2_Composições" xfId="723"/>
    <cellStyle name="Ênfase2 3" xfId="724"/>
    <cellStyle name="Ênfase2 3 2" xfId="725"/>
    <cellStyle name="Ênfase2 3 2 2" xfId="1990"/>
    <cellStyle name="Ênfase2 3 3" xfId="1355"/>
    <cellStyle name="Ênfase2 4" xfId="726"/>
    <cellStyle name="Ênfase2 4 2" xfId="1991"/>
    <cellStyle name="Ênfase2 5" xfId="727"/>
    <cellStyle name="Ênfase2 5 2" xfId="1992"/>
    <cellStyle name="Ênfase2 6" xfId="728"/>
    <cellStyle name="Ênfase2 6 2" xfId="1993"/>
    <cellStyle name="Ênfase2 7" xfId="729"/>
    <cellStyle name="Ênfase2 7 2" xfId="1994"/>
    <cellStyle name="Ênfase3 2" xfId="100"/>
    <cellStyle name="Ênfase3 2 2" xfId="731"/>
    <cellStyle name="Ênfase3 2 2 2" xfId="732"/>
    <cellStyle name="Ênfase3 2 2 2 2" xfId="1995"/>
    <cellStyle name="Ênfase3 2 2 3" xfId="1996"/>
    <cellStyle name="Ênfase3 2 3" xfId="733"/>
    <cellStyle name="Ênfase3 2 3 2" xfId="1997"/>
    <cellStyle name="Ênfase3 2 4" xfId="730"/>
    <cellStyle name="Ênfase3 2 4 2" xfId="1998"/>
    <cellStyle name="Ênfase3 2 5" xfId="1999"/>
    <cellStyle name="Ênfase3 2_Composições" xfId="734"/>
    <cellStyle name="Ênfase3 3" xfId="735"/>
    <cellStyle name="Ênfase3 3 2" xfId="736"/>
    <cellStyle name="Ênfase3 3 2 2" xfId="2000"/>
    <cellStyle name="Ênfase3 3 3" xfId="1356"/>
    <cellStyle name="Ênfase3 4" xfId="737"/>
    <cellStyle name="Ênfase3 4 2" xfId="2001"/>
    <cellStyle name="Ênfase3 5" xfId="738"/>
    <cellStyle name="Ênfase3 5 2" xfId="2002"/>
    <cellStyle name="Ênfase3 6" xfId="739"/>
    <cellStyle name="Ênfase3 6 2" xfId="2003"/>
    <cellStyle name="Ênfase3 7" xfId="740"/>
    <cellStyle name="Ênfase3 7 2" xfId="2004"/>
    <cellStyle name="Ênfase4 2" xfId="101"/>
    <cellStyle name="Ênfase4 2 2" xfId="742"/>
    <cellStyle name="Ênfase4 2 2 2" xfId="743"/>
    <cellStyle name="Ênfase4 2 2 2 2" xfId="2005"/>
    <cellStyle name="Ênfase4 2 2 3" xfId="2006"/>
    <cellStyle name="Ênfase4 2 3" xfId="744"/>
    <cellStyle name="Ênfase4 2 3 2" xfId="2007"/>
    <cellStyle name="Ênfase4 2 4" xfId="741"/>
    <cellStyle name="Ênfase4 2 4 2" xfId="2008"/>
    <cellStyle name="Ênfase4 2 5" xfId="2009"/>
    <cellStyle name="Ênfase4 2_Composições" xfId="745"/>
    <cellStyle name="Ênfase4 3" xfId="746"/>
    <cellStyle name="Ênfase4 3 2" xfId="747"/>
    <cellStyle name="Ênfase4 3 2 2" xfId="2010"/>
    <cellStyle name="Ênfase4 3 3" xfId="1357"/>
    <cellStyle name="Ênfase4 4" xfId="748"/>
    <cellStyle name="Ênfase4 4 2" xfId="2011"/>
    <cellStyle name="Ênfase4 5" xfId="749"/>
    <cellStyle name="Ênfase4 5 2" xfId="2012"/>
    <cellStyle name="Ênfase4 6" xfId="750"/>
    <cellStyle name="Ênfase4 6 2" xfId="2013"/>
    <cellStyle name="Ênfase4 7" xfId="751"/>
    <cellStyle name="Ênfase4 7 2" xfId="2014"/>
    <cellStyle name="Ênfase5 2" xfId="102"/>
    <cellStyle name="Ênfase5 2 2" xfId="753"/>
    <cellStyle name="Ênfase5 2 2 2" xfId="754"/>
    <cellStyle name="Ênfase5 2 2 2 2" xfId="2015"/>
    <cellStyle name="Ênfase5 2 2 3" xfId="2016"/>
    <cellStyle name="Ênfase5 2 3" xfId="755"/>
    <cellStyle name="Ênfase5 2 3 2" xfId="2017"/>
    <cellStyle name="Ênfase5 2 4" xfId="752"/>
    <cellStyle name="Ênfase5 2 4 2" xfId="2018"/>
    <cellStyle name="Ênfase5 2 5" xfId="2019"/>
    <cellStyle name="Ênfase5 2_Composições" xfId="756"/>
    <cellStyle name="Ênfase5 3" xfId="757"/>
    <cellStyle name="Ênfase5 3 2" xfId="758"/>
    <cellStyle name="Ênfase5 3 2 2" xfId="2020"/>
    <cellStyle name="Ênfase5 3 3" xfId="1358"/>
    <cellStyle name="Ênfase5 4" xfId="759"/>
    <cellStyle name="Ênfase5 4 2" xfId="2021"/>
    <cellStyle name="Ênfase5 5" xfId="760"/>
    <cellStyle name="Ênfase5 5 2" xfId="2022"/>
    <cellStyle name="Ênfase5 6" xfId="761"/>
    <cellStyle name="Ênfase5 6 2" xfId="2023"/>
    <cellStyle name="Ênfase5 7" xfId="762"/>
    <cellStyle name="Ênfase5 7 2" xfId="2024"/>
    <cellStyle name="Ênfase6 2" xfId="103"/>
    <cellStyle name="Ênfase6 2 2" xfId="764"/>
    <cellStyle name="Ênfase6 2 2 2" xfId="765"/>
    <cellStyle name="Ênfase6 2 2 2 2" xfId="2025"/>
    <cellStyle name="Ênfase6 2 2 3" xfId="2026"/>
    <cellStyle name="Ênfase6 2 3" xfId="766"/>
    <cellStyle name="Ênfase6 2 3 2" xfId="2027"/>
    <cellStyle name="Ênfase6 2 4" xfId="763"/>
    <cellStyle name="Ênfase6 2 4 2" xfId="2028"/>
    <cellStyle name="Ênfase6 2 5" xfId="2029"/>
    <cellStyle name="Ênfase6 2_Composições" xfId="767"/>
    <cellStyle name="Ênfase6 3" xfId="768"/>
    <cellStyle name="Ênfase6 3 2" xfId="769"/>
    <cellStyle name="Ênfase6 3 2 2" xfId="2030"/>
    <cellStyle name="Ênfase6 3 3" xfId="1359"/>
    <cellStyle name="Ênfase6 4" xfId="770"/>
    <cellStyle name="Ênfase6 4 2" xfId="2031"/>
    <cellStyle name="Ênfase6 5" xfId="771"/>
    <cellStyle name="Ênfase6 5 2" xfId="2032"/>
    <cellStyle name="Ênfase6 6" xfId="772"/>
    <cellStyle name="Ênfase6 6 2" xfId="2033"/>
    <cellStyle name="Ênfase6 7" xfId="773"/>
    <cellStyle name="Ênfase6 7 2" xfId="2034"/>
    <cellStyle name="Entrada 2" xfId="104"/>
    <cellStyle name="Entrada 2 2" xfId="775"/>
    <cellStyle name="Entrada 2 2 2" xfId="776"/>
    <cellStyle name="Entrada 2 2 2 2" xfId="2035"/>
    <cellStyle name="Entrada 2 2 2 3" xfId="2036"/>
    <cellStyle name="Entrada 2 2 3" xfId="2037"/>
    <cellStyle name="Entrada 2 2 4" xfId="2038"/>
    <cellStyle name="Entrada 2 3" xfId="777"/>
    <cellStyle name="Entrada 2 3 2" xfId="2039"/>
    <cellStyle name="Entrada 2 4" xfId="774"/>
    <cellStyle name="Entrada 2 4 2" xfId="2040"/>
    <cellStyle name="Entrada 2 5" xfId="2041"/>
    <cellStyle name="Entrada 2 6" xfId="2042"/>
    <cellStyle name="Entrada 2_Composições" xfId="778"/>
    <cellStyle name="Entrada 3" xfId="779"/>
    <cellStyle name="Entrada 3 2" xfId="780"/>
    <cellStyle name="Entrada 3 2 2" xfId="2043"/>
    <cellStyle name="Entrada 3 2 3" xfId="2044"/>
    <cellStyle name="Entrada 3 3" xfId="1360"/>
    <cellStyle name="Entrada 3 4" xfId="2045"/>
    <cellStyle name="Entrada 4" xfId="781"/>
    <cellStyle name="Entrada 4 2" xfId="2046"/>
    <cellStyle name="Entrada 4 3" xfId="2047"/>
    <cellStyle name="Entrada 5" xfId="782"/>
    <cellStyle name="Entrada 5 2" xfId="2048"/>
    <cellStyle name="Entrada 5 3" xfId="2049"/>
    <cellStyle name="Entrada 6" xfId="783"/>
    <cellStyle name="Entrada 6 2" xfId="2050"/>
    <cellStyle name="Entrada 6 3" xfId="2051"/>
    <cellStyle name="Entrada 7" xfId="784"/>
    <cellStyle name="Entrada 7 2" xfId="2052"/>
    <cellStyle name="Entrada 7 3" xfId="2053"/>
    <cellStyle name="Euro" xfId="785"/>
    <cellStyle name="Euro 2" xfId="786"/>
    <cellStyle name="Euro 2 2" xfId="2054"/>
    <cellStyle name="Euro 3" xfId="2055"/>
    <cellStyle name="Euro_Composições" xfId="787"/>
    <cellStyle name="Explanatory Text" xfId="788"/>
    <cellStyle name="Explanatory Text 2" xfId="789"/>
    <cellStyle name="Explanatory Text 2 2" xfId="2056"/>
    <cellStyle name="Explanatory Text 3" xfId="2057"/>
    <cellStyle name="Good" xfId="790"/>
    <cellStyle name="Good 2" xfId="791"/>
    <cellStyle name="Good 2 2" xfId="2058"/>
    <cellStyle name="Good 3" xfId="2059"/>
    <cellStyle name="Heading 1" xfId="792"/>
    <cellStyle name="Heading 1 2" xfId="793"/>
    <cellStyle name="Heading 1 2 2" xfId="2060"/>
    <cellStyle name="Heading 1 3" xfId="2061"/>
    <cellStyle name="Heading 2" xfId="794"/>
    <cellStyle name="Heading 2 2" xfId="795"/>
    <cellStyle name="Heading 2 2 2" xfId="2062"/>
    <cellStyle name="Heading 2 3" xfId="2063"/>
    <cellStyle name="Heading 3" xfId="796"/>
    <cellStyle name="Heading 3 2" xfId="797"/>
    <cellStyle name="Heading 3 2 2" xfId="2064"/>
    <cellStyle name="Heading 3 3" xfId="2065"/>
    <cellStyle name="Heading 4" xfId="798"/>
    <cellStyle name="Heading 4 2" xfId="799"/>
    <cellStyle name="Heading 4 2 2" xfId="2066"/>
    <cellStyle name="Heading 4 3" xfId="2067"/>
    <cellStyle name="Hiperlink 2" xfId="6"/>
    <cellStyle name="Hiperlink 3" xfId="1361"/>
    <cellStyle name="Hyperlink_GERAÇÃO SERVIÇOS E COMÉRCIO DE INFORMÁTICA LTDA - PAC 122.759 (9752) - SERVIÇO DE INSTAL DE INFRA-ESTRUTURA DE REDE DO 5º E 6º ANDARES DO CPC" xfId="1362"/>
    <cellStyle name="Incorreto 2" xfId="105"/>
    <cellStyle name="Incorreto 2 2" xfId="801"/>
    <cellStyle name="Incorreto 2 2 2" xfId="802"/>
    <cellStyle name="Incorreto 2 2 2 2" xfId="2068"/>
    <cellStyle name="Incorreto 2 2 3" xfId="2069"/>
    <cellStyle name="Incorreto 2 3" xfId="803"/>
    <cellStyle name="Incorreto 2 3 2" xfId="2070"/>
    <cellStyle name="Incorreto 2 4" xfId="800"/>
    <cellStyle name="Incorreto 2 4 2" xfId="2071"/>
    <cellStyle name="Incorreto 2 5" xfId="2072"/>
    <cellStyle name="Incorreto 2_Composições" xfId="804"/>
    <cellStyle name="Incorreto 3" xfId="805"/>
    <cellStyle name="Incorreto 3 2" xfId="806"/>
    <cellStyle name="Incorreto 3 2 2" xfId="2073"/>
    <cellStyle name="Incorreto 3 3" xfId="1363"/>
    <cellStyle name="Incorreto 4" xfId="807"/>
    <cellStyle name="Incorreto 4 2" xfId="2074"/>
    <cellStyle name="Incorreto 5" xfId="808"/>
    <cellStyle name="Incorreto 5 2" xfId="2075"/>
    <cellStyle name="Incorreto 6" xfId="809"/>
    <cellStyle name="Incorreto 6 2" xfId="2076"/>
    <cellStyle name="Incorreto 7" xfId="810"/>
    <cellStyle name="Incorreto 7 2" xfId="2077"/>
    <cellStyle name="Input" xfId="811"/>
    <cellStyle name="Input 2" xfId="812"/>
    <cellStyle name="Input 2 2" xfId="2078"/>
    <cellStyle name="Input 2 3" xfId="2079"/>
    <cellStyle name="Input 3" xfId="2080"/>
    <cellStyle name="Input 4" xfId="2081"/>
    <cellStyle name="Linked Cell" xfId="813"/>
    <cellStyle name="Linked Cell 2" xfId="814"/>
    <cellStyle name="Linked Cell 2 2" xfId="2082"/>
    <cellStyle name="Linked Cell 3" xfId="2083"/>
    <cellStyle name="Moeda" xfId="1499" builtinId="4"/>
    <cellStyle name="Moeda 2" xfId="9"/>
    <cellStyle name="Moeda 2 2" xfId="10"/>
    <cellStyle name="Moeda 2 2 2" xfId="817"/>
    <cellStyle name="Moeda 2 2 2 2" xfId="818"/>
    <cellStyle name="Moeda 2 2 2 2 2" xfId="1364"/>
    <cellStyle name="Moeda 2 2 2 2 2 2" xfId="1365"/>
    <cellStyle name="Moeda 2 2 2 2 3" xfId="1366"/>
    <cellStyle name="Moeda 2 2 2 2 4" xfId="1367"/>
    <cellStyle name="Moeda 2 2 2 3" xfId="1368"/>
    <cellStyle name="Moeda 2 2 2 3 2" xfId="1369"/>
    <cellStyle name="Moeda 2 2 2 3 3" xfId="1370"/>
    <cellStyle name="Moeda 2 2 2 4" xfId="1371"/>
    <cellStyle name="Moeda 2 2 3" xfId="819"/>
    <cellStyle name="Moeda 2 2 3 2" xfId="1372"/>
    <cellStyle name="Moeda 2 2 3 2 2" xfId="1373"/>
    <cellStyle name="Moeda 2 2 3 3" xfId="1374"/>
    <cellStyle name="Moeda 2 2 3 4" xfId="1375"/>
    <cellStyle name="Moeda 2 2 4" xfId="820"/>
    <cellStyle name="Moeda 2 2 4 2" xfId="1376"/>
    <cellStyle name="Moeda 2 2 5" xfId="816"/>
    <cellStyle name="Moeda 2 2 5 2" xfId="1377"/>
    <cellStyle name="Moeda 2 2 6" xfId="1378"/>
    <cellStyle name="Moeda 2 3" xfId="821"/>
    <cellStyle name="Moeda 2 3 2" xfId="822"/>
    <cellStyle name="Moeda 2 3 2 2" xfId="2084"/>
    <cellStyle name="Moeda 2 3 3" xfId="2085"/>
    <cellStyle name="Moeda 2 4" xfId="823"/>
    <cellStyle name="Moeda 2 4 2" xfId="1379"/>
    <cellStyle name="Moeda 2 4 2 2" xfId="1380"/>
    <cellStyle name="Moeda 2 4 2 2 2" xfId="1381"/>
    <cellStyle name="Moeda 2 4 2 3" xfId="1382"/>
    <cellStyle name="Moeda 2 4 3" xfId="1383"/>
    <cellStyle name="Moeda 2 4 3 2" xfId="1384"/>
    <cellStyle name="Moeda 2 4 4" xfId="1385"/>
    <cellStyle name="Moeda 2 4 5" xfId="1386"/>
    <cellStyle name="Moeda 2 5" xfId="1387"/>
    <cellStyle name="Moeda 2 5 2" xfId="1388"/>
    <cellStyle name="Moeda 2 5 2 2" xfId="1389"/>
    <cellStyle name="Moeda 2 5 3" xfId="1390"/>
    <cellStyle name="Moeda 2 6" xfId="1391"/>
    <cellStyle name="Moeda 2 7" xfId="1392"/>
    <cellStyle name="Moeda 2 7 2" xfId="1393"/>
    <cellStyle name="Moeda 2 8" xfId="1394"/>
    <cellStyle name="Moeda 3" xfId="11"/>
    <cellStyle name="Moeda 3 2" xfId="174"/>
    <cellStyle name="Moeda 3 2 2" xfId="825"/>
    <cellStyle name="Moeda 3 3" xfId="824"/>
    <cellStyle name="Moeda 3 3 2" xfId="1395"/>
    <cellStyle name="Moeda 3 3 2 2" xfId="1396"/>
    <cellStyle name="Moeda 3 3 3" xfId="1397"/>
    <cellStyle name="Moeda 3 4" xfId="1398"/>
    <cellStyle name="Moeda 3 4 2" xfId="1333"/>
    <cellStyle name="Moeda 4" xfId="826"/>
    <cellStyle name="Moeda 4 2" xfId="827"/>
    <cellStyle name="Moeda 4 2 2" xfId="828"/>
    <cellStyle name="Moeda 4 2 2 2" xfId="2086"/>
    <cellStyle name="Moeda 4 2 3" xfId="2087"/>
    <cellStyle name="Moeda 4 3" xfId="829"/>
    <cellStyle name="Moeda 4 3 2" xfId="2088"/>
    <cellStyle name="Moeda 4 4" xfId="830"/>
    <cellStyle name="Moeda 4 4 2" xfId="2089"/>
    <cellStyle name="Moeda 4 5" xfId="1399"/>
    <cellStyle name="Moeda 4 5 2" xfId="2090"/>
    <cellStyle name="Moeda 4 6" xfId="2091"/>
    <cellStyle name="Moeda 5" xfId="831"/>
    <cellStyle name="Moeda 5 2" xfId="832"/>
    <cellStyle name="Moeda 5 2 2" xfId="2092"/>
    <cellStyle name="Moeda 5 3" xfId="2093"/>
    <cellStyle name="Moeda 6" xfId="833"/>
    <cellStyle name="Moeda 6 2" xfId="1400"/>
    <cellStyle name="Moeda 6 3" xfId="1401"/>
    <cellStyle name="Moeda 7" xfId="834"/>
    <cellStyle name="Moeda 7 2" xfId="1402"/>
    <cellStyle name="Moeda 8" xfId="815"/>
    <cellStyle name="Moeda 8 2" xfId="1335"/>
    <cellStyle name="Moeda 9" xfId="1403"/>
    <cellStyle name="Neutra 2" xfId="106"/>
    <cellStyle name="Neutra 2 2" xfId="836"/>
    <cellStyle name="Neutra 2 2 2" xfId="837"/>
    <cellStyle name="Neutra 2 2 2 2" xfId="2094"/>
    <cellStyle name="Neutra 2 2 3" xfId="2095"/>
    <cellStyle name="Neutra 2 3" xfId="838"/>
    <cellStyle name="Neutra 2 3 2" xfId="2096"/>
    <cellStyle name="Neutra 2 4" xfId="835"/>
    <cellStyle name="Neutra 2 4 2" xfId="2097"/>
    <cellStyle name="Neutra 2 5" xfId="2098"/>
    <cellStyle name="Neutra 2_Composições" xfId="839"/>
    <cellStyle name="Neutra 3" xfId="840"/>
    <cellStyle name="Neutra 3 2" xfId="841"/>
    <cellStyle name="Neutra 3 2 2" xfId="2099"/>
    <cellStyle name="Neutra 3 3" xfId="1404"/>
    <cellStyle name="Neutra 4" xfId="842"/>
    <cellStyle name="Neutra 4 2" xfId="2100"/>
    <cellStyle name="Neutra 5" xfId="843"/>
    <cellStyle name="Neutra 5 2" xfId="2101"/>
    <cellStyle name="Neutra 6" xfId="844"/>
    <cellStyle name="Neutra 6 2" xfId="2102"/>
    <cellStyle name="Neutra 7" xfId="845"/>
    <cellStyle name="Neutra 7 2" xfId="2103"/>
    <cellStyle name="Neutral" xfId="846"/>
    <cellStyle name="Neutral 2" xfId="847"/>
    <cellStyle name="Neutral 2 2" xfId="2104"/>
    <cellStyle name="Neutral 3" xfId="2105"/>
    <cellStyle name="Normal" xfId="0" builtinId="0"/>
    <cellStyle name="Normal 10" xfId="5"/>
    <cellStyle name="Normal 10 2" xfId="107"/>
    <cellStyle name="Normal 10 2 2" xfId="848"/>
    <cellStyle name="Normal 10 2 2 2" xfId="2106"/>
    <cellStyle name="Normal 10 2 3" xfId="2107"/>
    <cellStyle name="Normal 10 3" xfId="849"/>
    <cellStyle name="Normal 10 3 2" xfId="2108"/>
    <cellStyle name="Normal 10 4" xfId="2109"/>
    <cellStyle name="Normal 10_Composições" xfId="850"/>
    <cellStyle name="Normal 11" xfId="12"/>
    <cellStyle name="Normal 11 2" xfId="108"/>
    <cellStyle name="Normal 11 2 2" xfId="851"/>
    <cellStyle name="Normal 11 2 2 2" xfId="2110"/>
    <cellStyle name="Normal 11 2 3" xfId="2111"/>
    <cellStyle name="Normal 11 3" xfId="852"/>
    <cellStyle name="Normal 11 3 2" xfId="853"/>
    <cellStyle name="Normal 11 3 2 2" xfId="2112"/>
    <cellStyle name="Normal 11 3 3" xfId="2113"/>
    <cellStyle name="Normal 11 4" xfId="854"/>
    <cellStyle name="Normal 11 4 2" xfId="2114"/>
    <cellStyle name="Normal 11 5" xfId="2115"/>
    <cellStyle name="Normal 11_Composições" xfId="855"/>
    <cellStyle name="Normal 12" xfId="74"/>
    <cellStyle name="Normal 12 2" xfId="857"/>
    <cellStyle name="Normal 12 2 2" xfId="1405"/>
    <cellStyle name="Normal 12 2 2 2" xfId="1406"/>
    <cellStyle name="Normal 12 2 2 3" xfId="1407"/>
    <cellStyle name="Normal 12 2 3" xfId="1408"/>
    <cellStyle name="Normal 12 3" xfId="856"/>
    <cellStyle name="Normal 12 3 2" xfId="1409"/>
    <cellStyle name="Normal 12 4" xfId="1410"/>
    <cellStyle name="Normal 12 5" xfId="1411"/>
    <cellStyle name="Normal 13" xfId="1"/>
    <cellStyle name="Normal 13 10" xfId="2116"/>
    <cellStyle name="Normal 13 10 2" xfId="2117"/>
    <cellStyle name="Normal 13 11" xfId="2118"/>
    <cellStyle name="Normal 13 2" xfId="175"/>
    <cellStyle name="Normal 13 2 2" xfId="860"/>
    <cellStyle name="Normal 13 2 2 2" xfId="2119"/>
    <cellStyle name="Normal 13 2 3" xfId="861"/>
    <cellStyle name="Normal 13 2 3 2" xfId="2120"/>
    <cellStyle name="Normal 13 2 4" xfId="859"/>
    <cellStyle name="Normal 13 2_Composições" xfId="862"/>
    <cellStyle name="Normal 13 3" xfId="863"/>
    <cellStyle name="Normal 13 3 2" xfId="1412"/>
    <cellStyle name="Normal 13 4" xfId="864"/>
    <cellStyle name="Normal 13 4 2" xfId="1413"/>
    <cellStyle name="Normal 13 5" xfId="858"/>
    <cellStyle name="Normal 13 5 2" xfId="2121"/>
    <cellStyle name="Normal 13 6" xfId="2122"/>
    <cellStyle name="Normal 13 6 2" xfId="2123"/>
    <cellStyle name="Normal 13 7" xfId="2124"/>
    <cellStyle name="Normal 13 7 2" xfId="2125"/>
    <cellStyle name="Normal 13 8" xfId="2126"/>
    <cellStyle name="Normal 13 8 2" xfId="2127"/>
    <cellStyle name="Normal 13 9" xfId="2128"/>
    <cellStyle name="Normal 13 9 2" xfId="2129"/>
    <cellStyle name="Normal 13_Composições" xfId="865"/>
    <cellStyle name="Normal 14" xfId="13"/>
    <cellStyle name="Normal 14 2" xfId="109"/>
    <cellStyle name="Normal 14 2 2" xfId="866"/>
    <cellStyle name="Normal 14 2 2 2" xfId="2130"/>
    <cellStyle name="Normal 14 2 3" xfId="2131"/>
    <cellStyle name="Normal 14 3" xfId="867"/>
    <cellStyle name="Normal 14 3 2" xfId="868"/>
    <cellStyle name="Normal 14 3 2 2" xfId="2132"/>
    <cellStyle name="Normal 14 3 3" xfId="2133"/>
    <cellStyle name="Normal 14 4" xfId="869"/>
    <cellStyle name="Normal 14 4 2" xfId="2134"/>
    <cellStyle name="Normal 14 5" xfId="2135"/>
    <cellStyle name="Normal 14_Composições" xfId="870"/>
    <cellStyle name="Normal 15" xfId="14"/>
    <cellStyle name="Normal 15 2" xfId="110"/>
    <cellStyle name="Normal 15 2 2" xfId="871"/>
    <cellStyle name="Normal 15 2 2 2" xfId="2136"/>
    <cellStyle name="Normal 15 2 3" xfId="2137"/>
    <cellStyle name="Normal 15 3" xfId="872"/>
    <cellStyle name="Normal 15 3 2" xfId="873"/>
    <cellStyle name="Normal 15 3 2 2" xfId="2138"/>
    <cellStyle name="Normal 15 3 3" xfId="2139"/>
    <cellStyle name="Normal 15 4" xfId="874"/>
    <cellStyle name="Normal 15 4 2" xfId="2140"/>
    <cellStyle name="Normal 15 5" xfId="2141"/>
    <cellStyle name="Normal 15_Composições" xfId="875"/>
    <cellStyle name="Normal 16" xfId="15"/>
    <cellStyle name="Normal 16 2" xfId="111"/>
    <cellStyle name="Normal 16 2 2" xfId="876"/>
    <cellStyle name="Normal 16 2 2 2" xfId="2142"/>
    <cellStyle name="Normal 16 2 3" xfId="2143"/>
    <cellStyle name="Normal 16 3" xfId="877"/>
    <cellStyle name="Normal 16 3 2" xfId="878"/>
    <cellStyle name="Normal 16 3 2 2" xfId="2144"/>
    <cellStyle name="Normal 16 3 3" xfId="2145"/>
    <cellStyle name="Normal 16 4" xfId="879"/>
    <cellStyle name="Normal 16 4 2" xfId="2146"/>
    <cellStyle name="Normal 16 5" xfId="2147"/>
    <cellStyle name="Normal 16_Composições" xfId="880"/>
    <cellStyle name="Normal 17" xfId="73"/>
    <cellStyle name="Normal 17 2" xfId="881"/>
    <cellStyle name="Normal 17 2 2" xfId="2148"/>
    <cellStyle name="Normal 17 3" xfId="2149"/>
    <cellStyle name="Normal 18" xfId="173"/>
    <cellStyle name="Normal 18 2" xfId="882"/>
    <cellStyle name="Normal 18 3" xfId="1414"/>
    <cellStyle name="Normal 18 3 2" xfId="1415"/>
    <cellStyle name="Normal 19" xfId="16"/>
    <cellStyle name="Normal 19 2" xfId="112"/>
    <cellStyle name="Normal 19 2 2" xfId="883"/>
    <cellStyle name="Normal 19 2 2 2" xfId="2150"/>
    <cellStyle name="Normal 19 2 3" xfId="2151"/>
    <cellStyle name="Normal 19 3" xfId="884"/>
    <cellStyle name="Normal 19 3 2" xfId="885"/>
    <cellStyle name="Normal 19 3 2 2" xfId="2152"/>
    <cellStyle name="Normal 19 3 3" xfId="2153"/>
    <cellStyle name="Normal 19 4" xfId="886"/>
    <cellStyle name="Normal 19 4 2" xfId="2154"/>
    <cellStyle name="Normal 19 5" xfId="2155"/>
    <cellStyle name="Normal 19_Composições" xfId="887"/>
    <cellStyle name="Normal 2" xfId="17"/>
    <cellStyle name="Normal 2 2" xfId="113"/>
    <cellStyle name="Normal 2 2 2" xfId="888"/>
    <cellStyle name="Normal 2 2 2 2" xfId="889"/>
    <cellStyle name="Normal 2 2 2 2 2" xfId="2156"/>
    <cellStyle name="Normal 2 2 2 3" xfId="2157"/>
    <cellStyle name="Normal 2 2 3" xfId="890"/>
    <cellStyle name="Normal 2 2 3 2" xfId="2158"/>
    <cellStyle name="Normal 2 2 4" xfId="2159"/>
    <cellStyle name="Normal 2 3" xfId="891"/>
    <cellStyle name="Normal 2 3 2" xfId="892"/>
    <cellStyle name="Normal 2 3 2 2" xfId="2160"/>
    <cellStyle name="Normal 2 3 3" xfId="2161"/>
    <cellStyle name="Normal 2 4" xfId="893"/>
    <cellStyle name="Normal 2 4 2" xfId="894"/>
    <cellStyle name="Normal 2 4 2 2" xfId="2162"/>
    <cellStyle name="Normal 2 4 3" xfId="2163"/>
    <cellStyle name="Normal 2 5" xfId="895"/>
    <cellStyle name="Normal 2 5 2" xfId="2164"/>
    <cellStyle name="Normal 2 6" xfId="2165"/>
    <cellStyle name="Normal 2_Composições" xfId="896"/>
    <cellStyle name="Normal 20" xfId="18"/>
    <cellStyle name="Normal 20 2" xfId="114"/>
    <cellStyle name="Normal 20 2 2" xfId="897"/>
    <cellStyle name="Normal 20 2 2 2" xfId="2166"/>
    <cellStyle name="Normal 20 2 3" xfId="2167"/>
    <cellStyle name="Normal 20 3" xfId="898"/>
    <cellStyle name="Normal 20 3 2" xfId="899"/>
    <cellStyle name="Normal 20 3 2 2" xfId="2168"/>
    <cellStyle name="Normal 20 3 3" xfId="2169"/>
    <cellStyle name="Normal 20 4" xfId="900"/>
    <cellStyle name="Normal 20 4 2" xfId="2170"/>
    <cellStyle name="Normal 20 5" xfId="2171"/>
    <cellStyle name="Normal 20_Composições" xfId="901"/>
    <cellStyle name="Normal 21" xfId="19"/>
    <cellStyle name="Normal 21 2" xfId="115"/>
    <cellStyle name="Normal 21 2 2" xfId="902"/>
    <cellStyle name="Normal 21 2 2 2" xfId="2172"/>
    <cellStyle name="Normal 21 2 3" xfId="2173"/>
    <cellStyle name="Normal 21 3" xfId="903"/>
    <cellStyle name="Normal 21 3 2" xfId="904"/>
    <cellStyle name="Normal 21 3 2 2" xfId="2174"/>
    <cellStyle name="Normal 21 3 3" xfId="2175"/>
    <cellStyle name="Normal 21 4" xfId="905"/>
    <cellStyle name="Normal 21 4 2" xfId="2176"/>
    <cellStyle name="Normal 21 5" xfId="2177"/>
    <cellStyle name="Normal 21_Composições" xfId="906"/>
    <cellStyle name="Normal 22" xfId="907"/>
    <cellStyle name="Normal 22 2" xfId="1416"/>
    <cellStyle name="Normal 22 2 2" xfId="1417"/>
    <cellStyle name="Normal 23" xfId="908"/>
    <cellStyle name="Normal 23 2" xfId="1418"/>
    <cellStyle name="Normal 23 3" xfId="2178"/>
    <cellStyle name="Normal 24" xfId="20"/>
    <cellStyle name="Normal 24 2" xfId="116"/>
    <cellStyle name="Normal 24 2 2" xfId="909"/>
    <cellStyle name="Normal 24 2 2 2" xfId="2179"/>
    <cellStyle name="Normal 24 2 3" xfId="2180"/>
    <cellStyle name="Normal 24 3" xfId="910"/>
    <cellStyle name="Normal 24 3 2" xfId="911"/>
    <cellStyle name="Normal 24 3 2 2" xfId="2181"/>
    <cellStyle name="Normal 24 3 3" xfId="2182"/>
    <cellStyle name="Normal 24 4" xfId="912"/>
    <cellStyle name="Normal 24 4 2" xfId="2183"/>
    <cellStyle name="Normal 24 5" xfId="2184"/>
    <cellStyle name="Normal 24_Composições" xfId="913"/>
    <cellStyle name="Normal 25" xfId="21"/>
    <cellStyle name="Normal 25 2" xfId="117"/>
    <cellStyle name="Normal 25 2 2" xfId="914"/>
    <cellStyle name="Normal 25 2 2 2" xfId="2185"/>
    <cellStyle name="Normal 25 2 3" xfId="2186"/>
    <cellStyle name="Normal 25 3" xfId="915"/>
    <cellStyle name="Normal 25 3 2" xfId="916"/>
    <cellStyle name="Normal 25 3 2 2" xfId="2187"/>
    <cellStyle name="Normal 25 3 3" xfId="2188"/>
    <cellStyle name="Normal 25 4" xfId="917"/>
    <cellStyle name="Normal 25 4 2" xfId="2189"/>
    <cellStyle name="Normal 25 5" xfId="2190"/>
    <cellStyle name="Normal 25_Composições" xfId="918"/>
    <cellStyle name="Normal 26" xfId="22"/>
    <cellStyle name="Normal 26 2" xfId="118"/>
    <cellStyle name="Normal 26 2 2" xfId="919"/>
    <cellStyle name="Normal 26 2 2 2" xfId="2191"/>
    <cellStyle name="Normal 26 2 3" xfId="2192"/>
    <cellStyle name="Normal 26 3" xfId="920"/>
    <cellStyle name="Normal 26 3 2" xfId="921"/>
    <cellStyle name="Normal 26 3 2 2" xfId="2193"/>
    <cellStyle name="Normal 26 3 3" xfId="2194"/>
    <cellStyle name="Normal 26 4" xfId="922"/>
    <cellStyle name="Normal 26 4 2" xfId="2195"/>
    <cellStyle name="Normal 26 5" xfId="2196"/>
    <cellStyle name="Normal 26_Composições" xfId="923"/>
    <cellStyle name="Normal 27" xfId="23"/>
    <cellStyle name="Normal 27 2" xfId="119"/>
    <cellStyle name="Normal 27 2 2" xfId="924"/>
    <cellStyle name="Normal 27 2 2 2" xfId="2197"/>
    <cellStyle name="Normal 27 2 3" xfId="2198"/>
    <cellStyle name="Normal 27 3" xfId="925"/>
    <cellStyle name="Normal 27 3 2" xfId="926"/>
    <cellStyle name="Normal 27 3 2 2" xfId="2199"/>
    <cellStyle name="Normal 27 3 3" xfId="2200"/>
    <cellStyle name="Normal 27 4" xfId="927"/>
    <cellStyle name="Normal 27 4 2" xfId="2201"/>
    <cellStyle name="Normal 27 5" xfId="2202"/>
    <cellStyle name="Normal 27_Composições" xfId="928"/>
    <cellStyle name="Normal 28" xfId="929"/>
    <cellStyle name="Normal 28 2" xfId="2203"/>
    <cellStyle name="Normal 28 3" xfId="2204"/>
    <cellStyle name="Normal 29" xfId="24"/>
    <cellStyle name="Normal 29 2" xfId="120"/>
    <cellStyle name="Normal 29 2 2" xfId="930"/>
    <cellStyle name="Normal 29 2 2 2" xfId="2205"/>
    <cellStyle name="Normal 29 2 3" xfId="2206"/>
    <cellStyle name="Normal 29 3" xfId="931"/>
    <cellStyle name="Normal 29 3 2" xfId="932"/>
    <cellStyle name="Normal 29 3 2 2" xfId="2207"/>
    <cellStyle name="Normal 29 3 3" xfId="2208"/>
    <cellStyle name="Normal 29 4" xfId="933"/>
    <cellStyle name="Normal 29 4 2" xfId="2209"/>
    <cellStyle name="Normal 29 5" xfId="2210"/>
    <cellStyle name="Normal 29_Composições" xfId="934"/>
    <cellStyle name="Normal 3" xfId="25"/>
    <cellStyle name="Normal 3 2" xfId="121"/>
    <cellStyle name="Normal 3 2 2" xfId="935"/>
    <cellStyle name="Normal 3 2 2 2" xfId="2211"/>
    <cellStyle name="Normal 3 2 3" xfId="2212"/>
    <cellStyle name="Normal 3 3" xfId="936"/>
    <cellStyle name="Normal 3 3 2" xfId="937"/>
    <cellStyle name="Normal 3 3 2 2" xfId="2213"/>
    <cellStyle name="Normal 3 3 3" xfId="2214"/>
    <cellStyle name="Normal 3 4" xfId="938"/>
    <cellStyle name="Normal 3 4 2" xfId="2215"/>
    <cellStyle name="Normal 3 5" xfId="2216"/>
    <cellStyle name="Normal 3_Composições" xfId="939"/>
    <cellStyle name="Normal 30" xfId="26"/>
    <cellStyle name="Normal 30 2" xfId="122"/>
    <cellStyle name="Normal 30 2 2" xfId="940"/>
    <cellStyle name="Normal 30 2 2 2" xfId="2217"/>
    <cellStyle name="Normal 30 2 3" xfId="2218"/>
    <cellStyle name="Normal 30 3" xfId="941"/>
    <cellStyle name="Normal 30 3 2" xfId="942"/>
    <cellStyle name="Normal 30 3 2 2" xfId="2219"/>
    <cellStyle name="Normal 30 3 3" xfId="2220"/>
    <cellStyle name="Normal 30 4" xfId="943"/>
    <cellStyle name="Normal 30 4 2" xfId="2221"/>
    <cellStyle name="Normal 30 5" xfId="2222"/>
    <cellStyle name="Normal 30_Composições" xfId="944"/>
    <cellStyle name="Normal 31" xfId="27"/>
    <cellStyle name="Normal 31 2" xfId="123"/>
    <cellStyle name="Normal 31 2 2" xfId="945"/>
    <cellStyle name="Normal 31 2 2 2" xfId="2223"/>
    <cellStyle name="Normal 31 2 3" xfId="2224"/>
    <cellStyle name="Normal 31 3" xfId="946"/>
    <cellStyle name="Normal 31 3 2" xfId="947"/>
    <cellStyle name="Normal 31 3 2 2" xfId="2225"/>
    <cellStyle name="Normal 31 3 3" xfId="2226"/>
    <cellStyle name="Normal 31 4" xfId="948"/>
    <cellStyle name="Normal 31 4 2" xfId="2227"/>
    <cellStyle name="Normal 31 5" xfId="2228"/>
    <cellStyle name="Normal 31_Composições" xfId="949"/>
    <cellStyle name="Normal 32" xfId="28"/>
    <cellStyle name="Normal 32 2" xfId="124"/>
    <cellStyle name="Normal 32 2 2" xfId="950"/>
    <cellStyle name="Normal 32 2 2 2" xfId="2229"/>
    <cellStyle name="Normal 32 2 3" xfId="2230"/>
    <cellStyle name="Normal 32 3" xfId="951"/>
    <cellStyle name="Normal 32 3 2" xfId="952"/>
    <cellStyle name="Normal 32 3 2 2" xfId="2231"/>
    <cellStyle name="Normal 32 3 3" xfId="2232"/>
    <cellStyle name="Normal 32 4" xfId="953"/>
    <cellStyle name="Normal 32 4 2" xfId="2233"/>
    <cellStyle name="Normal 32 5" xfId="2234"/>
    <cellStyle name="Normal 32_Composições" xfId="954"/>
    <cellStyle name="Normal 33" xfId="29"/>
    <cellStyle name="Normal 33 2" xfId="125"/>
    <cellStyle name="Normal 33 2 2" xfId="955"/>
    <cellStyle name="Normal 33 2 2 2" xfId="2235"/>
    <cellStyle name="Normal 33 2 3" xfId="2236"/>
    <cellStyle name="Normal 33 3" xfId="956"/>
    <cellStyle name="Normal 33 3 2" xfId="957"/>
    <cellStyle name="Normal 33 3 2 2" xfId="2237"/>
    <cellStyle name="Normal 33 3 3" xfId="2238"/>
    <cellStyle name="Normal 33 4" xfId="958"/>
    <cellStyle name="Normal 33 4 2" xfId="2239"/>
    <cellStyle name="Normal 33 5" xfId="2240"/>
    <cellStyle name="Normal 33_Composições" xfId="959"/>
    <cellStyle name="Normal 34" xfId="30"/>
    <cellStyle name="Normal 34 2" xfId="126"/>
    <cellStyle name="Normal 34 2 2" xfId="960"/>
    <cellStyle name="Normal 34 2 2 2" xfId="2241"/>
    <cellStyle name="Normal 34 2 3" xfId="2242"/>
    <cellStyle name="Normal 34 3" xfId="961"/>
    <cellStyle name="Normal 34 3 2" xfId="962"/>
    <cellStyle name="Normal 34 3 2 2" xfId="2243"/>
    <cellStyle name="Normal 34 3 3" xfId="2244"/>
    <cellStyle name="Normal 34 4" xfId="963"/>
    <cellStyle name="Normal 34 4 2" xfId="2245"/>
    <cellStyle name="Normal 34 5" xfId="2246"/>
    <cellStyle name="Normal 34_Composições" xfId="964"/>
    <cellStyle name="Normal 35" xfId="31"/>
    <cellStyle name="Normal 35 2" xfId="127"/>
    <cellStyle name="Normal 35 2 2" xfId="965"/>
    <cellStyle name="Normal 35 2 2 2" xfId="2247"/>
    <cellStyle name="Normal 35 2 3" xfId="2248"/>
    <cellStyle name="Normal 35 3" xfId="966"/>
    <cellStyle name="Normal 35 3 2" xfId="967"/>
    <cellStyle name="Normal 35 3 2 2" xfId="2249"/>
    <cellStyle name="Normal 35 3 3" xfId="2250"/>
    <cellStyle name="Normal 35 4" xfId="968"/>
    <cellStyle name="Normal 35 4 2" xfId="2251"/>
    <cellStyle name="Normal 35 5" xfId="2252"/>
    <cellStyle name="Normal 35_Composições" xfId="969"/>
    <cellStyle name="Normal 36" xfId="32"/>
    <cellStyle name="Normal 36 2" xfId="128"/>
    <cellStyle name="Normal 36 2 2" xfId="970"/>
    <cellStyle name="Normal 36 2 2 2" xfId="2253"/>
    <cellStyle name="Normal 36 2 3" xfId="2254"/>
    <cellStyle name="Normal 36 3" xfId="971"/>
    <cellStyle name="Normal 36 3 2" xfId="972"/>
    <cellStyle name="Normal 36 3 2 2" xfId="2255"/>
    <cellStyle name="Normal 36 3 3" xfId="2256"/>
    <cellStyle name="Normal 36 4" xfId="973"/>
    <cellStyle name="Normal 36 4 2" xfId="2257"/>
    <cellStyle name="Normal 36 5" xfId="2258"/>
    <cellStyle name="Normal 36_Composições" xfId="974"/>
    <cellStyle name="Normal 37" xfId="33"/>
    <cellStyle name="Normal 37 2" xfId="129"/>
    <cellStyle name="Normal 37 2 2" xfId="975"/>
    <cellStyle name="Normal 37 2 2 2" xfId="2259"/>
    <cellStyle name="Normal 37 2 3" xfId="2260"/>
    <cellStyle name="Normal 37 3" xfId="976"/>
    <cellStyle name="Normal 37 3 2" xfId="977"/>
    <cellStyle name="Normal 37 3 2 2" xfId="2261"/>
    <cellStyle name="Normal 37 3 3" xfId="2262"/>
    <cellStyle name="Normal 37 4" xfId="978"/>
    <cellStyle name="Normal 37 4 2" xfId="2263"/>
    <cellStyle name="Normal 37 5" xfId="2264"/>
    <cellStyle name="Normal 37_Composições" xfId="979"/>
    <cellStyle name="Normal 38" xfId="34"/>
    <cellStyle name="Normal 38 2" xfId="130"/>
    <cellStyle name="Normal 38 2 2" xfId="980"/>
    <cellStyle name="Normal 38 2 2 2" xfId="2265"/>
    <cellStyle name="Normal 38 2 3" xfId="2266"/>
    <cellStyle name="Normal 38 3" xfId="981"/>
    <cellStyle name="Normal 38 3 2" xfId="982"/>
    <cellStyle name="Normal 38 3 2 2" xfId="2267"/>
    <cellStyle name="Normal 38 3 3" xfId="2268"/>
    <cellStyle name="Normal 38 4" xfId="983"/>
    <cellStyle name="Normal 38 4 2" xfId="2269"/>
    <cellStyle name="Normal 38 5" xfId="2270"/>
    <cellStyle name="Normal 38_Composições" xfId="984"/>
    <cellStyle name="Normal 39" xfId="35"/>
    <cellStyle name="Normal 39 2" xfId="131"/>
    <cellStyle name="Normal 39 2 2" xfId="985"/>
    <cellStyle name="Normal 39 2 2 2" xfId="2271"/>
    <cellStyle name="Normal 39 2 3" xfId="2272"/>
    <cellStyle name="Normal 39 3" xfId="986"/>
    <cellStyle name="Normal 39 3 2" xfId="987"/>
    <cellStyle name="Normal 39 3 2 2" xfId="2273"/>
    <cellStyle name="Normal 39 3 3" xfId="2274"/>
    <cellStyle name="Normal 39 4" xfId="988"/>
    <cellStyle name="Normal 39 4 2" xfId="2275"/>
    <cellStyle name="Normal 39 5" xfId="2276"/>
    <cellStyle name="Normal 39_Composições" xfId="989"/>
    <cellStyle name="Normal 4" xfId="36"/>
    <cellStyle name="Normal 4 2" xfId="132"/>
    <cellStyle name="Normal 4 2 2" xfId="990"/>
    <cellStyle name="Normal 4 2 2 2" xfId="2277"/>
    <cellStyle name="Normal 4 2 3" xfId="2278"/>
    <cellStyle name="Normal 4 3" xfId="991"/>
    <cellStyle name="Normal 4 3 2" xfId="992"/>
    <cellStyle name="Normal 4 3 2 2" xfId="2279"/>
    <cellStyle name="Normal 4 3 3" xfId="2280"/>
    <cellStyle name="Normal 4 4" xfId="993"/>
    <cellStyle name="Normal 4 4 2" xfId="2281"/>
    <cellStyle name="Normal 4 5" xfId="2282"/>
    <cellStyle name="Normal 4_Composições" xfId="994"/>
    <cellStyle name="Normal 40" xfId="37"/>
    <cellStyle name="Normal 40 2" xfId="133"/>
    <cellStyle name="Normal 40 2 2" xfId="995"/>
    <cellStyle name="Normal 40 2 2 2" xfId="2283"/>
    <cellStyle name="Normal 40 2 3" xfId="2284"/>
    <cellStyle name="Normal 40 3" xfId="996"/>
    <cellStyle name="Normal 40 3 2" xfId="997"/>
    <cellStyle name="Normal 40 3 2 2" xfId="2285"/>
    <cellStyle name="Normal 40 3 3" xfId="2286"/>
    <cellStyle name="Normal 40 4" xfId="998"/>
    <cellStyle name="Normal 40 4 2" xfId="2287"/>
    <cellStyle name="Normal 40 5" xfId="2288"/>
    <cellStyle name="Normal 40_Composições" xfId="999"/>
    <cellStyle name="Normal 41" xfId="38"/>
    <cellStyle name="Normal 41 2" xfId="134"/>
    <cellStyle name="Normal 41 2 2" xfId="1000"/>
    <cellStyle name="Normal 41 2 2 2" xfId="2289"/>
    <cellStyle name="Normal 41 2 3" xfId="2290"/>
    <cellStyle name="Normal 41 3" xfId="1001"/>
    <cellStyle name="Normal 41 3 2" xfId="1002"/>
    <cellStyle name="Normal 41 3 2 2" xfId="2291"/>
    <cellStyle name="Normal 41 3 3" xfId="2292"/>
    <cellStyle name="Normal 41 4" xfId="1003"/>
    <cellStyle name="Normal 41 4 2" xfId="2293"/>
    <cellStyle name="Normal 41 5" xfId="2294"/>
    <cellStyle name="Normal 41_Composições" xfId="1004"/>
    <cellStyle name="Normal 42" xfId="1332"/>
    <cellStyle name="Normal 42 2" xfId="2295"/>
    <cellStyle name="Normal 42 3" xfId="2296"/>
    <cellStyle name="Normal 43" xfId="39"/>
    <cellStyle name="Normal 43 2" xfId="135"/>
    <cellStyle name="Normal 43 2 2" xfId="1005"/>
    <cellStyle name="Normal 43 2 2 2" xfId="2297"/>
    <cellStyle name="Normal 43 2 3" xfId="2298"/>
    <cellStyle name="Normal 43 3" xfId="1006"/>
    <cellStyle name="Normal 43 3 2" xfId="1007"/>
    <cellStyle name="Normal 43 3 2 2" xfId="2299"/>
    <cellStyle name="Normal 43 3 3" xfId="2300"/>
    <cellStyle name="Normal 43 4" xfId="1008"/>
    <cellStyle name="Normal 43 4 2" xfId="2301"/>
    <cellStyle name="Normal 43 5" xfId="2302"/>
    <cellStyle name="Normal 43_Composições" xfId="1009"/>
    <cellStyle name="Normal 44" xfId="40"/>
    <cellStyle name="Normal 44 2" xfId="136"/>
    <cellStyle name="Normal 44 2 2" xfId="1010"/>
    <cellStyle name="Normal 44 2 2 2" xfId="2303"/>
    <cellStyle name="Normal 44 2 3" xfId="2304"/>
    <cellStyle name="Normal 44 3" xfId="1011"/>
    <cellStyle name="Normal 44 3 2" xfId="1012"/>
    <cellStyle name="Normal 44 3 2 2" xfId="2305"/>
    <cellStyle name="Normal 44 3 3" xfId="2306"/>
    <cellStyle name="Normal 44 4" xfId="1013"/>
    <cellStyle name="Normal 44 4 2" xfId="2307"/>
    <cellStyle name="Normal 44 5" xfId="2308"/>
    <cellStyle name="Normal 44_Composições" xfId="1014"/>
    <cellStyle name="Normal 45" xfId="1500"/>
    <cellStyle name="Normal 45 2" xfId="2309"/>
    <cellStyle name="Normal 45 3" xfId="2310"/>
    <cellStyle name="Normal 46" xfId="41"/>
    <cellStyle name="Normal 46 2" xfId="137"/>
    <cellStyle name="Normal 46 2 2" xfId="1015"/>
    <cellStyle name="Normal 46 2 2 2" xfId="2311"/>
    <cellStyle name="Normal 46 2 3" xfId="2312"/>
    <cellStyle name="Normal 46 3" xfId="1016"/>
    <cellStyle name="Normal 46 3 2" xfId="1017"/>
    <cellStyle name="Normal 46 3 2 2" xfId="2313"/>
    <cellStyle name="Normal 46 3 3" xfId="2314"/>
    <cellStyle name="Normal 46 4" xfId="1018"/>
    <cellStyle name="Normal 46 4 2" xfId="2315"/>
    <cellStyle name="Normal 46 5" xfId="2316"/>
    <cellStyle name="Normal 46_Composições" xfId="1019"/>
    <cellStyle name="Normal 47" xfId="42"/>
    <cellStyle name="Normal 47 2" xfId="138"/>
    <cellStyle name="Normal 47 2 2" xfId="1020"/>
    <cellStyle name="Normal 47 2 2 2" xfId="2317"/>
    <cellStyle name="Normal 47 2 3" xfId="2318"/>
    <cellStyle name="Normal 47 3" xfId="1021"/>
    <cellStyle name="Normal 47 3 2" xfId="1022"/>
    <cellStyle name="Normal 47 3 2 2" xfId="2319"/>
    <cellStyle name="Normal 47 3 3" xfId="2320"/>
    <cellStyle name="Normal 47 4" xfId="1023"/>
    <cellStyle name="Normal 47 4 2" xfId="2321"/>
    <cellStyle name="Normal 47 5" xfId="2322"/>
    <cellStyle name="Normal 47_Composições" xfId="1024"/>
    <cellStyle name="Normal 48" xfId="2323"/>
    <cellStyle name="Normal 48 2" xfId="2324"/>
    <cellStyle name="Normal 48 3" xfId="2325"/>
    <cellStyle name="Normal 49" xfId="43"/>
    <cellStyle name="Normal 49 2" xfId="139"/>
    <cellStyle name="Normal 49 2 2" xfId="1025"/>
    <cellStyle name="Normal 49 2 2 2" xfId="2326"/>
    <cellStyle name="Normal 49 2 3" xfId="2327"/>
    <cellStyle name="Normal 49 3" xfId="1026"/>
    <cellStyle name="Normal 49 3 2" xfId="1027"/>
    <cellStyle name="Normal 49 3 2 2" xfId="2328"/>
    <cellStyle name="Normal 49 3 3" xfId="2329"/>
    <cellStyle name="Normal 49 4" xfId="1028"/>
    <cellStyle name="Normal 49 4 2" xfId="2330"/>
    <cellStyle name="Normal 49 5" xfId="2331"/>
    <cellStyle name="Normal 49_Composições" xfId="1029"/>
    <cellStyle name="Normal 5" xfId="44"/>
    <cellStyle name="Normal 5 2" xfId="140"/>
    <cellStyle name="Normal 5 2 2" xfId="1030"/>
    <cellStyle name="Normal 5 2 2 2" xfId="2332"/>
    <cellStyle name="Normal 5 2 3" xfId="2333"/>
    <cellStyle name="Normal 5 3" xfId="1031"/>
    <cellStyle name="Normal 5 3 2" xfId="1032"/>
    <cellStyle name="Normal 5 3 2 2" xfId="2334"/>
    <cellStyle name="Normal 5 3 3" xfId="2335"/>
    <cellStyle name="Normal 5 4" xfId="1033"/>
    <cellStyle name="Normal 5 4 2" xfId="2336"/>
    <cellStyle name="Normal 5 5" xfId="2337"/>
    <cellStyle name="Normal 5_Composições" xfId="1034"/>
    <cellStyle name="Normal 50" xfId="45"/>
    <cellStyle name="Normal 50 2" xfId="141"/>
    <cellStyle name="Normal 50 2 2" xfId="1035"/>
    <cellStyle name="Normal 50 2 2 2" xfId="2338"/>
    <cellStyle name="Normal 50 2 3" xfId="2339"/>
    <cellStyle name="Normal 50 3" xfId="1036"/>
    <cellStyle name="Normal 50 3 2" xfId="1037"/>
    <cellStyle name="Normal 50 3 2 2" xfId="2340"/>
    <cellStyle name="Normal 50 3 3" xfId="2341"/>
    <cellStyle name="Normal 50 4" xfId="1038"/>
    <cellStyle name="Normal 50 4 2" xfId="2342"/>
    <cellStyle name="Normal 50 5" xfId="2343"/>
    <cellStyle name="Normal 50_Composições" xfId="1039"/>
    <cellStyle name="Normal 51" xfId="2344"/>
    <cellStyle name="Normal 51 2" xfId="2345"/>
    <cellStyle name="Normal 51 3" xfId="2346"/>
    <cellStyle name="Normal 52" xfId="46"/>
    <cellStyle name="Normal 52 2" xfId="142"/>
    <cellStyle name="Normal 52 2 2" xfId="1040"/>
    <cellStyle name="Normal 52 2 2 2" xfId="2347"/>
    <cellStyle name="Normal 52 2 3" xfId="2348"/>
    <cellStyle name="Normal 52 3" xfId="1041"/>
    <cellStyle name="Normal 52 3 2" xfId="1042"/>
    <cellStyle name="Normal 52 3 2 2" xfId="2349"/>
    <cellStyle name="Normal 52 3 3" xfId="2350"/>
    <cellStyle name="Normal 52 4" xfId="1043"/>
    <cellStyle name="Normal 52 4 2" xfId="2351"/>
    <cellStyle name="Normal 52 5" xfId="2352"/>
    <cellStyle name="Normal 52_Composições" xfId="1044"/>
    <cellStyle name="Normal 53" xfId="47"/>
    <cellStyle name="Normal 53 2" xfId="143"/>
    <cellStyle name="Normal 53 2 2" xfId="1045"/>
    <cellStyle name="Normal 53 2 2 2" xfId="2353"/>
    <cellStyle name="Normal 53 2 3" xfId="2354"/>
    <cellStyle name="Normal 53 3" xfId="1046"/>
    <cellStyle name="Normal 53 3 2" xfId="1047"/>
    <cellStyle name="Normal 53 3 2 2" xfId="2355"/>
    <cellStyle name="Normal 53 3 3" xfId="2356"/>
    <cellStyle name="Normal 53 4" xfId="1048"/>
    <cellStyle name="Normal 53 4 2" xfId="2357"/>
    <cellStyle name="Normal 53 5" xfId="2358"/>
    <cellStyle name="Normal 53_Composições" xfId="1049"/>
    <cellStyle name="Normal 54" xfId="2359"/>
    <cellStyle name="Normal 54 2" xfId="2360"/>
    <cellStyle name="Normal 54 3" xfId="2361"/>
    <cellStyle name="Normal 55" xfId="2362"/>
    <cellStyle name="Normal 55 2" xfId="2363"/>
    <cellStyle name="Normal 55 3" xfId="2364"/>
    <cellStyle name="Normal 56" xfId="2365"/>
    <cellStyle name="Normal 56 2" xfId="2366"/>
    <cellStyle name="Normal 56 3" xfId="2367"/>
    <cellStyle name="Normal 57" xfId="48"/>
    <cellStyle name="Normal 57 2" xfId="144"/>
    <cellStyle name="Normal 57 2 2" xfId="1050"/>
    <cellStyle name="Normal 57 2 2 2" xfId="2368"/>
    <cellStyle name="Normal 57 2 3" xfId="2369"/>
    <cellStyle name="Normal 57 3" xfId="1051"/>
    <cellStyle name="Normal 57 3 2" xfId="1052"/>
    <cellStyle name="Normal 57 3 2 2" xfId="2370"/>
    <cellStyle name="Normal 57 3 3" xfId="2371"/>
    <cellStyle name="Normal 57 4" xfId="1053"/>
    <cellStyle name="Normal 57 4 2" xfId="2372"/>
    <cellStyle name="Normal 57 5" xfId="2373"/>
    <cellStyle name="Normal 57_Composições" xfId="1054"/>
    <cellStyle name="Normal 58" xfId="2374"/>
    <cellStyle name="Normal 58 2" xfId="2375"/>
    <cellStyle name="Normal 58 3" xfId="2376"/>
    <cellStyle name="Normal 59" xfId="49"/>
    <cellStyle name="Normal 59 2" xfId="145"/>
    <cellStyle name="Normal 59 2 2" xfId="1055"/>
    <cellStyle name="Normal 59 2 2 2" xfId="2377"/>
    <cellStyle name="Normal 59 2 3" xfId="2378"/>
    <cellStyle name="Normal 59 3" xfId="1056"/>
    <cellStyle name="Normal 59 3 2" xfId="1057"/>
    <cellStyle name="Normal 59 3 2 2" xfId="2379"/>
    <cellStyle name="Normal 59 3 3" xfId="2380"/>
    <cellStyle name="Normal 59 4" xfId="1058"/>
    <cellStyle name="Normal 59 4 2" xfId="2381"/>
    <cellStyle name="Normal 59 5" xfId="2382"/>
    <cellStyle name="Normal 59_Composições" xfId="1059"/>
    <cellStyle name="Normal 6" xfId="50"/>
    <cellStyle name="Normal 6 2" xfId="146"/>
    <cellStyle name="Normal 6 2 2" xfId="1060"/>
    <cellStyle name="Normal 6 2 2 2" xfId="2383"/>
    <cellStyle name="Normal 6 2 3" xfId="2384"/>
    <cellStyle name="Normal 6 3" xfId="1061"/>
    <cellStyle name="Normal 6 3 2" xfId="1062"/>
    <cellStyle name="Normal 6 3 2 2" xfId="2385"/>
    <cellStyle name="Normal 6 3 3" xfId="2386"/>
    <cellStyle name="Normal 6 4" xfId="1063"/>
    <cellStyle name="Normal 6 4 2" xfId="2387"/>
    <cellStyle name="Normal 6 5" xfId="2388"/>
    <cellStyle name="Normal 6_Composições" xfId="1064"/>
    <cellStyle name="Normal 60" xfId="51"/>
    <cellStyle name="Normal 60 2" xfId="147"/>
    <cellStyle name="Normal 60 2 2" xfId="1065"/>
    <cellStyle name="Normal 60 2 2 2" xfId="2389"/>
    <cellStyle name="Normal 60 2 3" xfId="2390"/>
    <cellStyle name="Normal 60 3" xfId="1066"/>
    <cellStyle name="Normal 60 3 2" xfId="1067"/>
    <cellStyle name="Normal 60 3 2 2" xfId="2391"/>
    <cellStyle name="Normal 60 3 3" xfId="2392"/>
    <cellStyle name="Normal 60 4" xfId="1068"/>
    <cellStyle name="Normal 60 4 2" xfId="2393"/>
    <cellStyle name="Normal 60 5" xfId="2394"/>
    <cellStyle name="Normal 60_Composições" xfId="1069"/>
    <cellStyle name="Normal 61" xfId="52"/>
    <cellStyle name="Normal 61 2" xfId="148"/>
    <cellStyle name="Normal 61 2 2" xfId="1070"/>
    <cellStyle name="Normal 61 2 2 2" xfId="2395"/>
    <cellStyle name="Normal 61 2 3" xfId="2396"/>
    <cellStyle name="Normal 61 3" xfId="1071"/>
    <cellStyle name="Normal 61 3 2" xfId="1072"/>
    <cellStyle name="Normal 61 3 2 2" xfId="2397"/>
    <cellStyle name="Normal 61 3 3" xfId="2398"/>
    <cellStyle name="Normal 61 4" xfId="1073"/>
    <cellStyle name="Normal 61 4 2" xfId="2399"/>
    <cellStyle name="Normal 61 5" xfId="2400"/>
    <cellStyle name="Normal 61_Composições" xfId="1074"/>
    <cellStyle name="Normal 62" xfId="53"/>
    <cellStyle name="Normal 62 2" xfId="149"/>
    <cellStyle name="Normal 62 2 2" xfId="1075"/>
    <cellStyle name="Normal 62 2 2 2" xfId="2401"/>
    <cellStyle name="Normal 62 2 3" xfId="2402"/>
    <cellStyle name="Normal 62 3" xfId="1076"/>
    <cellStyle name="Normal 62 3 2" xfId="1077"/>
    <cellStyle name="Normal 62 3 2 2" xfId="2403"/>
    <cellStyle name="Normal 62 3 3" xfId="2404"/>
    <cellStyle name="Normal 62 4" xfId="1078"/>
    <cellStyle name="Normal 62 4 2" xfId="2405"/>
    <cellStyle name="Normal 62 5" xfId="2406"/>
    <cellStyle name="Normal 62_Composições" xfId="1079"/>
    <cellStyle name="Normal 63" xfId="2407"/>
    <cellStyle name="Normal 63 2" xfId="2408"/>
    <cellStyle name="Normal 63 3" xfId="2409"/>
    <cellStyle name="Normal 64" xfId="54"/>
    <cellStyle name="Normal 64 2" xfId="150"/>
    <cellStyle name="Normal 64 2 2" xfId="1080"/>
    <cellStyle name="Normal 64 2 2 2" xfId="2410"/>
    <cellStyle name="Normal 64 2 3" xfId="2411"/>
    <cellStyle name="Normal 64 3" xfId="1081"/>
    <cellStyle name="Normal 64 3 2" xfId="1082"/>
    <cellStyle name="Normal 64 3 2 2" xfId="2412"/>
    <cellStyle name="Normal 64 3 3" xfId="2413"/>
    <cellStyle name="Normal 64 4" xfId="1083"/>
    <cellStyle name="Normal 64 4 2" xfId="2414"/>
    <cellStyle name="Normal 64 5" xfId="2415"/>
    <cellStyle name="Normal 64_Composições" xfId="1084"/>
    <cellStyle name="Normal 65" xfId="55"/>
    <cellStyle name="Normal 65 2" xfId="151"/>
    <cellStyle name="Normal 65 2 2" xfId="1085"/>
    <cellStyle name="Normal 65 2 2 2" xfId="2416"/>
    <cellStyle name="Normal 65 2 3" xfId="2417"/>
    <cellStyle name="Normal 65 3" xfId="1086"/>
    <cellStyle name="Normal 65 3 2" xfId="1087"/>
    <cellStyle name="Normal 65 3 2 2" xfId="2418"/>
    <cellStyle name="Normal 65 3 3" xfId="2419"/>
    <cellStyle name="Normal 65 4" xfId="1088"/>
    <cellStyle name="Normal 65 4 2" xfId="2420"/>
    <cellStyle name="Normal 65 5" xfId="2421"/>
    <cellStyle name="Normal 65_Composições" xfId="1089"/>
    <cellStyle name="Normal 66" xfId="2422"/>
    <cellStyle name="Normal 66 2" xfId="2423"/>
    <cellStyle name="Normal 66 3" xfId="2424"/>
    <cellStyle name="Normal 67" xfId="2425"/>
    <cellStyle name="Normal 67 2" xfId="2426"/>
    <cellStyle name="Normal 67 3" xfId="2427"/>
    <cellStyle name="Normal 68" xfId="2428"/>
    <cellStyle name="Normal 68 2" xfId="2429"/>
    <cellStyle name="Normal 68 3" xfId="2430"/>
    <cellStyle name="Normal 69" xfId="2431"/>
    <cellStyle name="Normal 69 2" xfId="2432"/>
    <cellStyle name="Normal 69 3" xfId="2433"/>
    <cellStyle name="Normal 7" xfId="7"/>
    <cellStyle name="Normal 7 10" xfId="1090"/>
    <cellStyle name="Normal 7 10 2" xfId="2434"/>
    <cellStyle name="Normal 7 11" xfId="2435"/>
    <cellStyle name="Normal 7 2" xfId="75"/>
    <cellStyle name="Normal 7 2 10" xfId="2436"/>
    <cellStyle name="Normal 7 2 10 2" xfId="2437"/>
    <cellStyle name="Normal 7 2 11" xfId="2438"/>
    <cellStyle name="Normal 7 2 2" xfId="1092"/>
    <cellStyle name="Normal 7 2 2 2" xfId="1093"/>
    <cellStyle name="Normal 7 2 2 2 2" xfId="2439"/>
    <cellStyle name="Normal 7 2 2 3" xfId="1094"/>
    <cellStyle name="Normal 7 2 2 3 2" xfId="2440"/>
    <cellStyle name="Normal 7 2 2 4" xfId="1331"/>
    <cellStyle name="Normal 7 2 2_Composições" xfId="1095"/>
    <cellStyle name="Normal 7 2 3" xfId="1096"/>
    <cellStyle name="Normal 7 2 3 2" xfId="1419"/>
    <cellStyle name="Normal 7 2 4" xfId="1097"/>
    <cellStyle name="Normal 7 2 4 2" xfId="1420"/>
    <cellStyle name="Normal 7 2 4 2 2" xfId="1421"/>
    <cellStyle name="Normal 7 2 4 3" xfId="1422"/>
    <cellStyle name="Normal 7 2 5" xfId="1098"/>
    <cellStyle name="Normal 7 2 5 2" xfId="2441"/>
    <cellStyle name="Normal 7 2 6" xfId="1099"/>
    <cellStyle name="Normal 7 2 6 2" xfId="2442"/>
    <cellStyle name="Normal 7 2 7" xfId="1091"/>
    <cellStyle name="Normal 7 2 7 2" xfId="2443"/>
    <cellStyle name="Normal 7 2 8" xfId="2444"/>
    <cellStyle name="Normal 7 2 8 2" xfId="2445"/>
    <cellStyle name="Normal 7 2 9" xfId="2446"/>
    <cellStyle name="Normal 7 2 9 2" xfId="2447"/>
    <cellStyle name="Normal 7 2_Composições" xfId="1100"/>
    <cellStyle name="Normal 7 3" xfId="176"/>
    <cellStyle name="Normal 7 3 2" xfId="1102"/>
    <cellStyle name="Normal 7 3 2 2" xfId="1103"/>
    <cellStyle name="Normal 7 3 2 2 2" xfId="2448"/>
    <cellStyle name="Normal 7 3 2 3" xfId="1423"/>
    <cellStyle name="Normal 7 3 3" xfId="1104"/>
    <cellStyle name="Normal 7 3 3 2" xfId="2449"/>
    <cellStyle name="Normal 7 3 4" xfId="1101"/>
    <cellStyle name="Normal 7 4" xfId="1105"/>
    <cellStyle name="Normal 7 4 2" xfId="1106"/>
    <cellStyle name="Normal 7 4 2 2" xfId="1424"/>
    <cellStyle name="Normal 7 4 2 2 2" xfId="1425"/>
    <cellStyle name="Normal 7 4 2 3" xfId="1426"/>
    <cellStyle name="Normal 7 4 2 4" xfId="1427"/>
    <cellStyle name="Normal 7 4 3" xfId="1428"/>
    <cellStyle name="Normal 7 4 3 2" xfId="1429"/>
    <cellStyle name="Normal 7 4 4" xfId="1430"/>
    <cellStyle name="Normal 7 5" xfId="1107"/>
    <cellStyle name="Normal 7 5 2" xfId="1108"/>
    <cellStyle name="Normal 7 5 2 2" xfId="2450"/>
    <cellStyle name="Normal 7 5 3" xfId="1109"/>
    <cellStyle name="Normal 7 5 3 2" xfId="2451"/>
    <cellStyle name="Normal 7 5 4" xfId="2452"/>
    <cellStyle name="Normal 7 5_Composições" xfId="1110"/>
    <cellStyle name="Normal 7 6" xfId="1111"/>
    <cellStyle name="Normal 7 6 2" xfId="2453"/>
    <cellStyle name="Normal 7 7" xfId="1112"/>
    <cellStyle name="Normal 7 7 2" xfId="2454"/>
    <cellStyle name="Normal 7 8" xfId="1113"/>
    <cellStyle name="Normal 7 8 2" xfId="2455"/>
    <cellStyle name="Normal 7 9" xfId="1114"/>
    <cellStyle name="Normal 7 9 2" xfId="2456"/>
    <cellStyle name="Normal 7_Composições" xfId="1115"/>
    <cellStyle name="Normal 70" xfId="2457"/>
    <cellStyle name="Normal 70 2" xfId="2458"/>
    <cellStyle name="Normal 70 3" xfId="2459"/>
    <cellStyle name="Normal 71" xfId="2460"/>
    <cellStyle name="Normal 8" xfId="72"/>
    <cellStyle name="Normal 8 10" xfId="2461"/>
    <cellStyle name="Normal 8 10 2" xfId="2462"/>
    <cellStyle name="Normal 8 11" xfId="2463"/>
    <cellStyle name="Normal 8 11 2" xfId="2464"/>
    <cellStyle name="Normal 8 12" xfId="2465"/>
    <cellStyle name="Normal 8 2" xfId="1117"/>
    <cellStyle name="Normal 8 2 2" xfId="1118"/>
    <cellStyle name="Normal 8 2 2 2" xfId="1119"/>
    <cellStyle name="Normal 8 2 2 2 2" xfId="1431"/>
    <cellStyle name="Normal 8 2 2 2 2 2" xfId="1432"/>
    <cellStyle name="Normal 8 2 2 2 3" xfId="1433"/>
    <cellStyle name="Normal 8 2 2 2 4" xfId="1434"/>
    <cellStyle name="Normal 8 2 2 3" xfId="1120"/>
    <cellStyle name="Normal 8 2 2 3 2" xfId="1435"/>
    <cellStyle name="Normal 8 2 2 4" xfId="1436"/>
    <cellStyle name="Normal 8 2 2_Composições" xfId="1121"/>
    <cellStyle name="Normal 8 2 3" xfId="1122"/>
    <cellStyle name="Normal 8 2 3 2" xfId="1437"/>
    <cellStyle name="Normal 8 2 3 2 2" xfId="1438"/>
    <cellStyle name="Normal 8 2 3 3" xfId="1439"/>
    <cellStyle name="Normal 8 2 3 4" xfId="1440"/>
    <cellStyle name="Normal 8 2 4" xfId="1123"/>
    <cellStyle name="Normal 8 2 4 2" xfId="1441"/>
    <cellStyle name="Normal 8 2 5" xfId="1124"/>
    <cellStyle name="Normal 8 2 5 2" xfId="1442"/>
    <cellStyle name="Normal 8 2 6" xfId="1125"/>
    <cellStyle name="Normal 8 2 6 2" xfId="2466"/>
    <cellStyle name="Normal 8 2 7" xfId="1443"/>
    <cellStyle name="Normal 8 2_Composições" xfId="1126"/>
    <cellStyle name="Normal 8 3" xfId="1127"/>
    <cellStyle name="Normal 8 3 2" xfId="1128"/>
    <cellStyle name="Normal 8 3 2 2" xfId="1444"/>
    <cellStyle name="Normal 8 3 2 2 2" xfId="1445"/>
    <cellStyle name="Normal 8 3 2 3" xfId="1446"/>
    <cellStyle name="Normal 8 3 2 4" xfId="1447"/>
    <cellStyle name="Normal 8 3 3" xfId="1448"/>
    <cellStyle name="Normal 8 3 3 2" xfId="1449"/>
    <cellStyle name="Normal 8 3 4" xfId="1450"/>
    <cellStyle name="Normal 8 3 5" xfId="1451"/>
    <cellStyle name="Normal 8 4" xfId="1129"/>
    <cellStyle name="Normal 8 4 2" xfId="1452"/>
    <cellStyle name="Normal 8 4 2 2" xfId="1453"/>
    <cellStyle name="Normal 8 4 3" xfId="1454"/>
    <cellStyle name="Normal 8 4 4" xfId="1455"/>
    <cellStyle name="Normal 8 5" xfId="1116"/>
    <cellStyle name="Normal 8 5 2" xfId="1456"/>
    <cellStyle name="Normal 8 5 3" xfId="1457"/>
    <cellStyle name="Normal 8 6" xfId="1458"/>
    <cellStyle name="Normal 8 6 2" xfId="2467"/>
    <cellStyle name="Normal 8 7" xfId="2468"/>
    <cellStyle name="Normal 8 7 2" xfId="2469"/>
    <cellStyle name="Normal 8 8" xfId="2470"/>
    <cellStyle name="Normal 8 8 2" xfId="2471"/>
    <cellStyle name="Normal 8 9" xfId="2472"/>
    <cellStyle name="Normal 8 9 2" xfId="2473"/>
    <cellStyle name="Normal 9" xfId="56"/>
    <cellStyle name="Normal 9 2" xfId="152"/>
    <cellStyle name="Normal 9 2 2" xfId="1130"/>
    <cellStyle name="Normal 9 2 2 2" xfId="2474"/>
    <cellStyle name="Normal 9 2 3" xfId="2475"/>
    <cellStyle name="Normal 9 3" xfId="1131"/>
    <cellStyle name="Normal 9 3 2" xfId="1132"/>
    <cellStyle name="Normal 9 3 2 2" xfId="2476"/>
    <cellStyle name="Normal 9 3 3" xfId="2477"/>
    <cellStyle name="Normal 9 4" xfId="1133"/>
    <cellStyle name="Normal 9 4 2" xfId="2478"/>
    <cellStyle name="Normal 9 5" xfId="2479"/>
    <cellStyle name="Normal 9_Composições" xfId="1134"/>
    <cellStyle name="Nota 10" xfId="1135"/>
    <cellStyle name="Nota 10 2" xfId="2480"/>
    <cellStyle name="Nota 11" xfId="1136"/>
    <cellStyle name="Nota 11 2" xfId="2481"/>
    <cellStyle name="Nota 11 3" xfId="2482"/>
    <cellStyle name="Nota 2" xfId="153"/>
    <cellStyle name="Nota 2 2" xfId="1138"/>
    <cellStyle name="Nota 2 2 2" xfId="1139"/>
    <cellStyle name="Nota 2 2 2 2" xfId="2483"/>
    <cellStyle name="Nota 2 2 2 3" xfId="2484"/>
    <cellStyle name="Nota 2 2 3" xfId="2485"/>
    <cellStyle name="Nota 2 2 4" xfId="2486"/>
    <cellStyle name="Nota 2 3" xfId="1140"/>
    <cellStyle name="Nota 2 3 2" xfId="1141"/>
    <cellStyle name="Nota 2 3 2 2" xfId="2487"/>
    <cellStyle name="Nota 2 3 3" xfId="1142"/>
    <cellStyle name="Nota 2 3 3 2" xfId="2488"/>
    <cellStyle name="Nota 2 3 4" xfId="2489"/>
    <cellStyle name="Nota 2 3_Composições" xfId="1143"/>
    <cellStyle name="Nota 2 4" xfId="1144"/>
    <cellStyle name="Nota 2 4 2" xfId="2490"/>
    <cellStyle name="Nota 2 5" xfId="1145"/>
    <cellStyle name="Nota 2 5 2" xfId="2491"/>
    <cellStyle name="Nota 2 6" xfId="1137"/>
    <cellStyle name="Nota 2 6 2" xfId="2492"/>
    <cellStyle name="Nota 2 7" xfId="2493"/>
    <cellStyle name="Nota 2 8" xfId="2494"/>
    <cellStyle name="Nota 2_Composições" xfId="1146"/>
    <cellStyle name="Nota 3" xfId="1147"/>
    <cellStyle name="Nota 3 2" xfId="1148"/>
    <cellStyle name="Nota 3 2 2" xfId="1149"/>
    <cellStyle name="Nota 3 2 2 2" xfId="2495"/>
    <cellStyle name="Nota 3 2 3" xfId="2496"/>
    <cellStyle name="Nota 3 2_Composições" xfId="1150"/>
    <cellStyle name="Nota 3 3" xfId="1151"/>
    <cellStyle name="Nota 3 3 2" xfId="2497"/>
    <cellStyle name="Nota 3 4" xfId="2498"/>
    <cellStyle name="Nota 3_Composições" xfId="1152"/>
    <cellStyle name="Nota 4" xfId="1153"/>
    <cellStyle name="Nota 4 2" xfId="1154"/>
    <cellStyle name="Nota 4 2 2" xfId="2499"/>
    <cellStyle name="Nota 4 3" xfId="2500"/>
    <cellStyle name="Nota 4_Composições" xfId="1155"/>
    <cellStyle name="Nota 5" xfId="1156"/>
    <cellStyle name="Nota 5 2" xfId="1157"/>
    <cellStyle name="Nota 5 2 2" xfId="2501"/>
    <cellStyle name="Nota 5 2 3" xfId="2502"/>
    <cellStyle name="Nota 5 3" xfId="2503"/>
    <cellStyle name="Nota 5 4" xfId="2504"/>
    <cellStyle name="Nota 6" xfId="1158"/>
    <cellStyle name="Nota 6 2" xfId="1159"/>
    <cellStyle name="Nota 6 2 2" xfId="1160"/>
    <cellStyle name="Nota 6 2 2 2" xfId="2505"/>
    <cellStyle name="Nota 6 2 3" xfId="1161"/>
    <cellStyle name="Nota 6 2 3 2" xfId="2506"/>
    <cellStyle name="Nota 6 2 4" xfId="2507"/>
    <cellStyle name="Nota 6 2_Composições" xfId="1162"/>
    <cellStyle name="Nota 6 3" xfId="1163"/>
    <cellStyle name="Nota 6 3 2" xfId="2508"/>
    <cellStyle name="Nota 6 4" xfId="1164"/>
    <cellStyle name="Nota 6 4 2" xfId="2509"/>
    <cellStyle name="Nota 6 5" xfId="2510"/>
    <cellStyle name="Nota 6_Composições" xfId="1165"/>
    <cellStyle name="Nota 7" xfId="1166"/>
    <cellStyle name="Nota 7 2" xfId="1167"/>
    <cellStyle name="Nota 7 2 2" xfId="2511"/>
    <cellStyle name="Nota 7 2 3" xfId="2512"/>
    <cellStyle name="Nota 7 3" xfId="2513"/>
    <cellStyle name="Nota 7 4" xfId="2514"/>
    <cellStyle name="Nota 8" xfId="1168"/>
    <cellStyle name="Nota 8 2" xfId="2515"/>
    <cellStyle name="Nota 8 3" xfId="2516"/>
    <cellStyle name="Nota 9" xfId="1169"/>
    <cellStyle name="Nota 9 2" xfId="2517"/>
    <cellStyle name="Note" xfId="1170"/>
    <cellStyle name="Note 2" xfId="1171"/>
    <cellStyle name="Note 2 2" xfId="2518"/>
    <cellStyle name="Note 2 3" xfId="2519"/>
    <cellStyle name="Note 3" xfId="2520"/>
    <cellStyle name="Note 4" xfId="2521"/>
    <cellStyle name="Output" xfId="1172"/>
    <cellStyle name="Output 2" xfId="1173"/>
    <cellStyle name="Output 2 2" xfId="2522"/>
    <cellStyle name="Output 2 3" xfId="2523"/>
    <cellStyle name="Output 3" xfId="2524"/>
    <cellStyle name="Output 4" xfId="2525"/>
    <cellStyle name="Percent_GMB_Planilha Geral de Orçamento CUSTO_1" xfId="57"/>
    <cellStyle name="Porcentagem 10" xfId="1459"/>
    <cellStyle name="Porcentagem 2" xfId="58"/>
    <cellStyle name="Porcentagem 2 2" xfId="4"/>
    <cellStyle name="Porcentagem 2 2 2" xfId="1460"/>
    <cellStyle name="Porcentagem 2 3" xfId="154"/>
    <cellStyle name="Porcentagem 2 3 2" xfId="1461"/>
    <cellStyle name="Porcentagem 2 4" xfId="1462"/>
    <cellStyle name="Porcentagem 3" xfId="59"/>
    <cellStyle name="Porcentagem 3 2" xfId="178"/>
    <cellStyle name="Porcentagem 3 2 2" xfId="1174"/>
    <cellStyle name="Porcentagem 3 2 2 2" xfId="2526"/>
    <cellStyle name="Porcentagem 3 2 3" xfId="1175"/>
    <cellStyle name="Porcentagem 3 2 3 2" xfId="2527"/>
    <cellStyle name="Porcentagem 3 2 4" xfId="2528"/>
    <cellStyle name="Porcentagem 3 3" xfId="1176"/>
    <cellStyle name="Porcentagem 3 3 2" xfId="1177"/>
    <cellStyle name="Porcentagem 3 3 2 2" xfId="1178"/>
    <cellStyle name="Porcentagem 3 3 2 2 2" xfId="1179"/>
    <cellStyle name="Porcentagem 3 3 2 2 2 2" xfId="2529"/>
    <cellStyle name="Porcentagem 3 3 2 2 3" xfId="2530"/>
    <cellStyle name="Porcentagem 3 3 2 3" xfId="1180"/>
    <cellStyle name="Porcentagem 3 3 2 3 2" xfId="2531"/>
    <cellStyle name="Porcentagem 3 3 2 4" xfId="1181"/>
    <cellStyle name="Porcentagem 3 3 2 4 2" xfId="2532"/>
    <cellStyle name="Porcentagem 3 3 2 5" xfId="2533"/>
    <cellStyle name="Porcentagem 3 3 3" xfId="1463"/>
    <cellStyle name="Porcentagem 3 3 3 2" xfId="1464"/>
    <cellStyle name="Porcentagem 3 4" xfId="1182"/>
    <cellStyle name="Porcentagem 3 4 2" xfId="2534"/>
    <cellStyle name="Porcentagem 3 5" xfId="1183"/>
    <cellStyle name="Porcentagem 4" xfId="3"/>
    <cellStyle name="Porcentagem 4 2" xfId="1184"/>
    <cellStyle name="Porcentagem 4 2 2" xfId="1185"/>
    <cellStyle name="Porcentagem 4 2 2 2" xfId="2535"/>
    <cellStyle name="Porcentagem 4 2 3" xfId="2536"/>
    <cellStyle name="Porcentagem 4 3" xfId="1186"/>
    <cellStyle name="Porcentagem 4 3 2" xfId="2537"/>
    <cellStyle name="Porcentagem 4 4" xfId="2538"/>
    <cellStyle name="Porcentagem 5" xfId="177"/>
    <cellStyle name="Porcentagem 5 2" xfId="1188"/>
    <cellStyle name="Porcentagem 5 2 2" xfId="2539"/>
    <cellStyle name="Porcentagem 5 3" xfId="1187"/>
    <cellStyle name="Porcentagem 6" xfId="1189"/>
    <cellStyle name="Porcentagem 6 2" xfId="1465"/>
    <cellStyle name="Porcentagem 6 3" xfId="1466"/>
    <cellStyle name="Porcentagem 7" xfId="1190"/>
    <cellStyle name="Porcentagem 7 2" xfId="1467"/>
    <cellStyle name="Porcentagem 7 3" xfId="1468"/>
    <cellStyle name="Porcentagem 8" xfId="1469"/>
    <cellStyle name="Porcentagem 9" xfId="1470"/>
    <cellStyle name="Saída 2" xfId="155"/>
    <cellStyle name="Saída 2 2" xfId="1192"/>
    <cellStyle name="Saída 2 2 2" xfId="1193"/>
    <cellStyle name="Saída 2 2 2 2" xfId="2540"/>
    <cellStyle name="Saída 2 2 2 3" xfId="2541"/>
    <cellStyle name="Saída 2 2 3" xfId="2542"/>
    <cellStyle name="Saída 2 2 4" xfId="2543"/>
    <cellStyle name="Saída 2 3" xfId="1194"/>
    <cellStyle name="Saída 2 3 2" xfId="2544"/>
    <cellStyle name="Saída 2 4" xfId="1191"/>
    <cellStyle name="Saída 2 4 2" xfId="2545"/>
    <cellStyle name="Saída 2 5" xfId="2546"/>
    <cellStyle name="Saída 2 6" xfId="2547"/>
    <cellStyle name="Saída 2_Composições" xfId="1195"/>
    <cellStyle name="Saída 3" xfId="1196"/>
    <cellStyle name="Saída 3 2" xfId="1197"/>
    <cellStyle name="Saída 3 2 2" xfId="2548"/>
    <cellStyle name="Saída 3 2 3" xfId="2549"/>
    <cellStyle name="Saída 3 3" xfId="1471"/>
    <cellStyle name="Saída 3 4" xfId="2550"/>
    <cellStyle name="Saída 4" xfId="1198"/>
    <cellStyle name="Saída 4 2" xfId="2551"/>
    <cellStyle name="Saída 4 3" xfId="2552"/>
    <cellStyle name="Saída 5" xfId="1199"/>
    <cellStyle name="Saída 5 2" xfId="2553"/>
    <cellStyle name="Saída 5 3" xfId="2554"/>
    <cellStyle name="Saída 6" xfId="1200"/>
    <cellStyle name="Saída 6 2" xfId="2555"/>
    <cellStyle name="Saída 6 3" xfId="2556"/>
    <cellStyle name="Saída 7" xfId="1201"/>
    <cellStyle name="Saída 7 2" xfId="2557"/>
    <cellStyle name="Saída 7 3" xfId="2558"/>
    <cellStyle name="Separador de milhares 11" xfId="60"/>
    <cellStyle name="Separador de milhares 11 2" xfId="156"/>
    <cellStyle name="Separador de milhares 11 2 2" xfId="2559"/>
    <cellStyle name="Separador de milhares 11 3" xfId="1202"/>
    <cellStyle name="Separador de milhares 11 3 2" xfId="2560"/>
    <cellStyle name="Separador de milhares 11 4" xfId="2561"/>
    <cellStyle name="Separador de milhares 16" xfId="61"/>
    <cellStyle name="Separador de milhares 16 2" xfId="157"/>
    <cellStyle name="Separador de milhares 16 2 2" xfId="2562"/>
    <cellStyle name="Separador de milhares 16 3" xfId="1203"/>
    <cellStyle name="Separador de milhares 16 3 2" xfId="2563"/>
    <cellStyle name="Separador de milhares 16 4" xfId="2564"/>
    <cellStyle name="Separador de milhares 21" xfId="62"/>
    <cellStyle name="Separador de milhares 21 2" xfId="158"/>
    <cellStyle name="Separador de milhares 21 2 2" xfId="2565"/>
    <cellStyle name="Separador de milhares 21 3" xfId="1204"/>
    <cellStyle name="Separador de milhares 21 3 2" xfId="2566"/>
    <cellStyle name="Separador de milhares 21 4" xfId="2567"/>
    <cellStyle name="Separador de milhares 26" xfId="63"/>
    <cellStyle name="Separador de milhares 26 2" xfId="159"/>
    <cellStyle name="Separador de milhares 26 2 2" xfId="2568"/>
    <cellStyle name="Separador de milhares 26 3" xfId="1205"/>
    <cellStyle name="Separador de milhares 26 3 2" xfId="2569"/>
    <cellStyle name="Separador de milhares 26 4" xfId="2570"/>
    <cellStyle name="Separador de milhares 41" xfId="64"/>
    <cellStyle name="Separador de milhares 41 2" xfId="160"/>
    <cellStyle name="Separador de milhares 41 2 2" xfId="2571"/>
    <cellStyle name="Separador de milhares 41 3" xfId="1206"/>
    <cellStyle name="Separador de milhares 41 3 2" xfId="2572"/>
    <cellStyle name="Separador de milhares 41 4" xfId="2573"/>
    <cellStyle name="Separador de milhares 55" xfId="65"/>
    <cellStyle name="Separador de milhares 55 2" xfId="161"/>
    <cellStyle name="Separador de milhares 55 2 2" xfId="2574"/>
    <cellStyle name="Separador de milhares 55 3" xfId="1207"/>
    <cellStyle name="Separador de milhares 55 3 2" xfId="2575"/>
    <cellStyle name="Separador de milhares 55 4" xfId="2576"/>
    <cellStyle name="Separador de milhares 58" xfId="66"/>
    <cellStyle name="Separador de milhares 58 2" xfId="162"/>
    <cellStyle name="Separador de milhares 58 2 2" xfId="2577"/>
    <cellStyle name="Separador de milhares 58 3" xfId="1208"/>
    <cellStyle name="Separador de milhares 58 3 2" xfId="2578"/>
    <cellStyle name="Separador de milhares 58 4" xfId="2579"/>
    <cellStyle name="Separador de milhares 6" xfId="67"/>
    <cellStyle name="Separador de milhares 6 2" xfId="163"/>
    <cellStyle name="Separador de milhares 6 2 2" xfId="2580"/>
    <cellStyle name="Separador de milhares 6 3" xfId="1209"/>
    <cellStyle name="Separador de milhares 6 3 2" xfId="2581"/>
    <cellStyle name="Separador de milhares 6 4" xfId="2582"/>
    <cellStyle name="Texto de Aviso 2" xfId="164"/>
    <cellStyle name="Texto de Aviso 2 2" xfId="1211"/>
    <cellStyle name="Texto de Aviso 2 2 2" xfId="1212"/>
    <cellStyle name="Texto de Aviso 2 2 2 2" xfId="2583"/>
    <cellStyle name="Texto de Aviso 2 2 3" xfId="2584"/>
    <cellStyle name="Texto de Aviso 2 3" xfId="1213"/>
    <cellStyle name="Texto de Aviso 2 3 2" xfId="2585"/>
    <cellStyle name="Texto de Aviso 2 4" xfId="1210"/>
    <cellStyle name="Texto de Aviso 2 4 2" xfId="2586"/>
    <cellStyle name="Texto de Aviso 2 5" xfId="2587"/>
    <cellStyle name="Texto de Aviso 2_Composições" xfId="1214"/>
    <cellStyle name="Texto de Aviso 3" xfId="1215"/>
    <cellStyle name="Texto de Aviso 3 2" xfId="1216"/>
    <cellStyle name="Texto de Aviso 3 2 2" xfId="2588"/>
    <cellStyle name="Texto de Aviso 3 3" xfId="1472"/>
    <cellStyle name="Texto de Aviso 4" xfId="1217"/>
    <cellStyle name="Texto de Aviso 4 2" xfId="2589"/>
    <cellStyle name="Texto de Aviso 5" xfId="1218"/>
    <cellStyle name="Texto de Aviso 5 2" xfId="2590"/>
    <cellStyle name="Texto de Aviso 6" xfId="1219"/>
    <cellStyle name="Texto de Aviso 6 2" xfId="2591"/>
    <cellStyle name="Texto de Aviso 7" xfId="1220"/>
    <cellStyle name="Texto de Aviso 7 2" xfId="2592"/>
    <cellStyle name="Texto Explicativo 2" xfId="165"/>
    <cellStyle name="Texto Explicativo 2 2" xfId="1222"/>
    <cellStyle name="Texto Explicativo 2 2 2" xfId="1223"/>
    <cellStyle name="Texto Explicativo 2 2 2 2" xfId="2593"/>
    <cellStyle name="Texto Explicativo 2 2 3" xfId="2594"/>
    <cellStyle name="Texto Explicativo 2 3" xfId="1224"/>
    <cellStyle name="Texto Explicativo 2 3 2" xfId="2595"/>
    <cellStyle name="Texto Explicativo 2 4" xfId="1221"/>
    <cellStyle name="Texto Explicativo 2 4 2" xfId="2596"/>
    <cellStyle name="Texto Explicativo 2 5" xfId="2597"/>
    <cellStyle name="Texto Explicativo 2_Composições" xfId="1225"/>
    <cellStyle name="Texto Explicativo 3" xfId="1226"/>
    <cellStyle name="Texto Explicativo 3 2" xfId="1227"/>
    <cellStyle name="Texto Explicativo 3 2 2" xfId="2598"/>
    <cellStyle name="Texto Explicativo 3 3" xfId="1473"/>
    <cellStyle name="Texto Explicativo 4" xfId="1228"/>
    <cellStyle name="Texto Explicativo 4 2" xfId="2599"/>
    <cellStyle name="Texto Explicativo 5" xfId="1229"/>
    <cellStyle name="Texto Explicativo 5 2" xfId="2600"/>
    <cellStyle name="Texto Explicativo 6" xfId="1230"/>
    <cellStyle name="Texto Explicativo 6 2" xfId="2601"/>
    <cellStyle name="Texto Explicativo 7" xfId="1231"/>
    <cellStyle name="Texto Explicativo 7 2" xfId="2602"/>
    <cellStyle name="Title" xfId="1232"/>
    <cellStyle name="Title 2" xfId="1233"/>
    <cellStyle name="Title 2 2" xfId="2603"/>
    <cellStyle name="Title 3" xfId="2604"/>
    <cellStyle name="Título 1 2" xfId="167"/>
    <cellStyle name="Título 1 2 2" xfId="1235"/>
    <cellStyle name="Título 1 2 2 2" xfId="1236"/>
    <cellStyle name="Título 1 2 2 2 2" xfId="2605"/>
    <cellStyle name="Título 1 2 2 3" xfId="2606"/>
    <cellStyle name="Título 1 2 3" xfId="1237"/>
    <cellStyle name="Título 1 2 3 2" xfId="2607"/>
    <cellStyle name="Título 1 2 4" xfId="1234"/>
    <cellStyle name="Título 1 2 4 2" xfId="2608"/>
    <cellStyle name="Título 1 2 5" xfId="2609"/>
    <cellStyle name="Título 1 2_Composições" xfId="1238"/>
    <cellStyle name="Título 1 3" xfId="1239"/>
    <cellStyle name="Título 1 3 2" xfId="1240"/>
    <cellStyle name="Título 1 3 2 2" xfId="2610"/>
    <cellStyle name="Título 1 3 3" xfId="1474"/>
    <cellStyle name="Título 1 4" xfId="1241"/>
    <cellStyle name="Título 1 4 2" xfId="2611"/>
    <cellStyle name="Título 1 5" xfId="1242"/>
    <cellStyle name="Título 1 5 2" xfId="2612"/>
    <cellStyle name="Título 1 6" xfId="1243"/>
    <cellStyle name="Título 1 6 2" xfId="2613"/>
    <cellStyle name="Título 1 7" xfId="1244"/>
    <cellStyle name="Título 1 7 2" xfId="2614"/>
    <cellStyle name="Título 10" xfId="1245"/>
    <cellStyle name="Título 10 2" xfId="2615"/>
    <cellStyle name="Título 11" xfId="1246"/>
    <cellStyle name="Título 11 2" xfId="2616"/>
    <cellStyle name="Título 12" xfId="1247"/>
    <cellStyle name="Título 12 2" xfId="2617"/>
    <cellStyle name="Título 13" xfId="2618"/>
    <cellStyle name="Título 13 2" xfId="2619"/>
    <cellStyle name="Título 14" xfId="2620"/>
    <cellStyle name="Título 14 2" xfId="2621"/>
    <cellStyle name="Título 15" xfId="2622"/>
    <cellStyle name="Título 15 2" xfId="2623"/>
    <cellStyle name="Título 16" xfId="2624"/>
    <cellStyle name="Título 16 2" xfId="2625"/>
    <cellStyle name="Título 17" xfId="2626"/>
    <cellStyle name="Título 17 2" xfId="2627"/>
    <cellStyle name="Título 18" xfId="2628"/>
    <cellStyle name="Título 18 2" xfId="2629"/>
    <cellStyle name="Título 19" xfId="2630"/>
    <cellStyle name="Título 19 2" xfId="2631"/>
    <cellStyle name="Título 2 2" xfId="168"/>
    <cellStyle name="Título 2 2 2" xfId="1249"/>
    <cellStyle name="Título 2 2 2 2" xfId="1250"/>
    <cellStyle name="Título 2 2 2 2 2" xfId="2632"/>
    <cellStyle name="Título 2 2 2 3" xfId="2633"/>
    <cellStyle name="Título 2 2 3" xfId="1251"/>
    <cellStyle name="Título 2 2 3 2" xfId="2634"/>
    <cellStyle name="Título 2 2 4" xfId="1248"/>
    <cellStyle name="Título 2 2 4 2" xfId="2635"/>
    <cellStyle name="Título 2 2 5" xfId="2636"/>
    <cellStyle name="Título 2 2_Composições" xfId="1252"/>
    <cellStyle name="Título 2 3" xfId="1253"/>
    <cellStyle name="Título 2 3 2" xfId="1254"/>
    <cellStyle name="Título 2 3 2 2" xfId="2637"/>
    <cellStyle name="Título 2 3 3" xfId="1475"/>
    <cellStyle name="Título 2 4" xfId="1255"/>
    <cellStyle name="Título 2 4 2" xfId="2638"/>
    <cellStyle name="Título 2 5" xfId="1256"/>
    <cellStyle name="Título 2 5 2" xfId="2639"/>
    <cellStyle name="Título 2 6" xfId="1257"/>
    <cellStyle name="Título 2 6 2" xfId="2640"/>
    <cellStyle name="Título 2 7" xfId="1258"/>
    <cellStyle name="Título 2 7 2" xfId="2641"/>
    <cellStyle name="Título 20" xfId="2642"/>
    <cellStyle name="Título 20 2" xfId="2643"/>
    <cellStyle name="Título 21" xfId="2644"/>
    <cellStyle name="Título 21 2" xfId="2645"/>
    <cellStyle name="Título 22" xfId="2646"/>
    <cellStyle name="Título 22 2" xfId="2647"/>
    <cellStyle name="Título 23" xfId="2648"/>
    <cellStyle name="Título 23 2" xfId="2649"/>
    <cellStyle name="Título 24" xfId="2650"/>
    <cellStyle name="Título 24 2" xfId="2651"/>
    <cellStyle name="Título 25" xfId="2652"/>
    <cellStyle name="Título 25 2" xfId="2653"/>
    <cellStyle name="Título 26" xfId="2654"/>
    <cellStyle name="Título 26 2" xfId="2655"/>
    <cellStyle name="Título 27" xfId="2656"/>
    <cellStyle name="Título 27 2" xfId="2657"/>
    <cellStyle name="Título 28" xfId="2658"/>
    <cellStyle name="Título 28 2" xfId="2659"/>
    <cellStyle name="Título 29" xfId="2660"/>
    <cellStyle name="Título 29 2" xfId="2661"/>
    <cellStyle name="Título 3 2" xfId="169"/>
    <cellStyle name="Título 3 2 2" xfId="1260"/>
    <cellStyle name="Título 3 2 2 2" xfId="1261"/>
    <cellStyle name="Título 3 2 2 2 2" xfId="2662"/>
    <cellStyle name="Título 3 2 2 3" xfId="2663"/>
    <cellStyle name="Título 3 2 3" xfId="1262"/>
    <cellStyle name="Título 3 2 3 2" xfId="2664"/>
    <cellStyle name="Título 3 2 4" xfId="1259"/>
    <cellStyle name="Título 3 2 4 2" xfId="2665"/>
    <cellStyle name="Título 3 2 5" xfId="2666"/>
    <cellStyle name="Título 3 2_Composições" xfId="1263"/>
    <cellStyle name="Título 3 3" xfId="1264"/>
    <cellStyle name="Título 3 3 2" xfId="1265"/>
    <cellStyle name="Título 3 3 2 2" xfId="2667"/>
    <cellStyle name="Título 3 3 3" xfId="1476"/>
    <cellStyle name="Título 3 4" xfId="1266"/>
    <cellStyle name="Título 3 4 2" xfId="2668"/>
    <cellStyle name="Título 3 5" xfId="1267"/>
    <cellStyle name="Título 3 5 2" xfId="2669"/>
    <cellStyle name="Título 3 6" xfId="1268"/>
    <cellStyle name="Título 3 6 2" xfId="2670"/>
    <cellStyle name="Título 3 7" xfId="1269"/>
    <cellStyle name="Título 3 7 2" xfId="2671"/>
    <cellStyle name="Título 30" xfId="2672"/>
    <cellStyle name="Título 30 2" xfId="2673"/>
    <cellStyle name="Título 4 2" xfId="170"/>
    <cellStyle name="Título 4 2 2" xfId="1271"/>
    <cellStyle name="Título 4 2 2 2" xfId="1272"/>
    <cellStyle name="Título 4 2 2 2 2" xfId="2674"/>
    <cellStyle name="Título 4 2 2 3" xfId="2675"/>
    <cellStyle name="Título 4 2 3" xfId="1273"/>
    <cellStyle name="Título 4 2 3 2" xfId="2676"/>
    <cellStyle name="Título 4 2 4" xfId="1270"/>
    <cellStyle name="Título 4 2 4 2" xfId="2677"/>
    <cellStyle name="Título 4 2 5" xfId="2678"/>
    <cellStyle name="Título 4 2_Composições" xfId="1274"/>
    <cellStyle name="Título 4 3" xfId="1275"/>
    <cellStyle name="Título 4 3 2" xfId="1276"/>
    <cellStyle name="Título 4 3 2 2" xfId="2679"/>
    <cellStyle name="Título 4 3 3" xfId="1477"/>
    <cellStyle name="Título 4 4" xfId="1277"/>
    <cellStyle name="Título 4 4 2" xfId="2680"/>
    <cellStyle name="Título 4 5" xfId="1278"/>
    <cellStyle name="Título 4 5 2" xfId="2681"/>
    <cellStyle name="Título 4 6" xfId="1279"/>
    <cellStyle name="Título 4 6 2" xfId="2682"/>
    <cellStyle name="Título 4 7" xfId="1280"/>
    <cellStyle name="Título 4 7 2" xfId="2683"/>
    <cellStyle name="Título 5" xfId="166"/>
    <cellStyle name="Título 5 2" xfId="1282"/>
    <cellStyle name="Título 5 2 2" xfId="1283"/>
    <cellStyle name="Título 5 2 2 2" xfId="2684"/>
    <cellStyle name="Título 5 2 3" xfId="2685"/>
    <cellStyle name="Título 5 3" xfId="1284"/>
    <cellStyle name="Título 5 3 2" xfId="2686"/>
    <cellStyle name="Título 5 4" xfId="1281"/>
    <cellStyle name="Título 5 4 2" xfId="2687"/>
    <cellStyle name="Título 5 5" xfId="2688"/>
    <cellStyle name="Título 5_Composições" xfId="1285"/>
    <cellStyle name="Título 6" xfId="1286"/>
    <cellStyle name="Título 6 2" xfId="1287"/>
    <cellStyle name="Título 6 2 2" xfId="2689"/>
    <cellStyle name="Título 6 3" xfId="1478"/>
    <cellStyle name="Título 7" xfId="1288"/>
    <cellStyle name="Título 7 2" xfId="2690"/>
    <cellStyle name="Título 8" xfId="1289"/>
    <cellStyle name="Título 8 2" xfId="2691"/>
    <cellStyle name="Título 9" xfId="1290"/>
    <cellStyle name="Título 9 2" xfId="2692"/>
    <cellStyle name="Total 2" xfId="171"/>
    <cellStyle name="Total 2 2" xfId="1292"/>
    <cellStyle name="Total 2 2 2" xfId="1293"/>
    <cellStyle name="Total 2 2 2 2" xfId="2693"/>
    <cellStyle name="Total 2 2 2 3" xfId="2694"/>
    <cellStyle name="Total 2 2 3" xfId="2695"/>
    <cellStyle name="Total 2 2 4" xfId="2696"/>
    <cellStyle name="Total 2 3" xfId="1294"/>
    <cellStyle name="Total 2 3 2" xfId="2697"/>
    <cellStyle name="Total 2 4" xfId="1291"/>
    <cellStyle name="Total 2 4 2" xfId="2698"/>
    <cellStyle name="Total 2 5" xfId="2699"/>
    <cellStyle name="Total 2 6" xfId="2700"/>
    <cellStyle name="Total 2_Composições" xfId="1295"/>
    <cellStyle name="Total 3" xfId="1296"/>
    <cellStyle name="Total 3 2" xfId="1297"/>
    <cellStyle name="Total 3 2 2" xfId="2701"/>
    <cellStyle name="Total 3 2 3" xfId="2702"/>
    <cellStyle name="Total 3 3" xfId="1479"/>
    <cellStyle name="Total 3 4" xfId="2703"/>
    <cellStyle name="Total 4" xfId="1298"/>
    <cellStyle name="Total 4 2" xfId="2704"/>
    <cellStyle name="Total 4 3" xfId="2705"/>
    <cellStyle name="Total 5" xfId="1299"/>
    <cellStyle name="Total 5 2" xfId="2706"/>
    <cellStyle name="Total 5 3" xfId="2707"/>
    <cellStyle name="Total 6" xfId="1300"/>
    <cellStyle name="Total 6 2" xfId="2708"/>
    <cellStyle name="Total 6 3" xfId="2709"/>
    <cellStyle name="Total 7" xfId="1301"/>
    <cellStyle name="Total 7 2" xfId="2710"/>
    <cellStyle name="Total 7 3" xfId="2711"/>
    <cellStyle name="Vírgula" xfId="1330" builtinId="3"/>
    <cellStyle name="Vírgula 10" xfId="1480"/>
    <cellStyle name="Vírgula 11" xfId="1481"/>
    <cellStyle name="Vírgula 2" xfId="68"/>
    <cellStyle name="Vírgula 2 2" xfId="69"/>
    <cellStyle name="Vírgula 2 2 2" xfId="1303"/>
    <cellStyle name="Vírgula 2 2 2 2" xfId="1334"/>
    <cellStyle name="Vírgula 2 2 3" xfId="1302"/>
    <cellStyle name="Vírgula 2 2 4" xfId="1482"/>
    <cellStyle name="Vírgula 2 3" xfId="172"/>
    <cellStyle name="Vírgula 2 3 2" xfId="1483"/>
    <cellStyle name="Vírgula 2 3 3" xfId="1484"/>
    <cellStyle name="Vírgula 2 4" xfId="1304"/>
    <cellStyle name="Vírgula 2 4 2" xfId="2712"/>
    <cellStyle name="Vírgula 2 5" xfId="1305"/>
    <cellStyle name="Vírgula 3" xfId="70"/>
    <cellStyle name="Vírgula 3 2" xfId="180"/>
    <cellStyle name="Vírgula 3 2 2" xfId="1306"/>
    <cellStyle name="Vírgula 3 2 2 2" xfId="2713"/>
    <cellStyle name="Vírgula 3 2 3" xfId="1307"/>
    <cellStyle name="Vírgula 3 2 3 2" xfId="2714"/>
    <cellStyle name="Vírgula 3 2 4" xfId="2715"/>
    <cellStyle name="Vírgula 3 3" xfId="1308"/>
    <cellStyle name="Vírgula 3 3 2" xfId="1309"/>
    <cellStyle name="Vírgula 3 3 2 2" xfId="1310"/>
    <cellStyle name="Vírgula 3 3 2 2 2" xfId="1311"/>
    <cellStyle name="Vírgula 3 3 2 2 2 2" xfId="2716"/>
    <cellStyle name="Vírgula 3 3 2 2 3" xfId="2717"/>
    <cellStyle name="Vírgula 3 3 2 3" xfId="1312"/>
    <cellStyle name="Vírgula 3 3 2 3 2" xfId="2718"/>
    <cellStyle name="Vírgula 3 3 2 4" xfId="1313"/>
    <cellStyle name="Vírgula 3 3 2 4 2" xfId="2719"/>
    <cellStyle name="Vírgula 3 3 2 5" xfId="2720"/>
    <cellStyle name="Vírgula 3 3 3" xfId="1485"/>
    <cellStyle name="Vírgula 3 4" xfId="1314"/>
    <cellStyle name="Vírgula 3 4 2" xfId="1486"/>
    <cellStyle name="Vírgula 3 4 2 2" xfId="1487"/>
    <cellStyle name="Vírgula 3 4 3" xfId="1488"/>
    <cellStyle name="Vírgula 3 5" xfId="2721"/>
    <cellStyle name="Vírgula 3_PREGAO-1003-2014-ANEXO3" xfId="1489"/>
    <cellStyle name="Vírgula 4" xfId="71"/>
    <cellStyle name="Vírgula 4 2" xfId="181"/>
    <cellStyle name="Vírgula 4 2 2" xfId="1317"/>
    <cellStyle name="Vírgula 4 2 2 2" xfId="2722"/>
    <cellStyle name="Vírgula 4 2 3" xfId="1316"/>
    <cellStyle name="Vírgula 4 3" xfId="1318"/>
    <cellStyle name="Vírgula 4 3 2" xfId="2723"/>
    <cellStyle name="Vírgula 4 4" xfId="1315"/>
    <cellStyle name="Vírgula 4 5" xfId="1490"/>
    <cellStyle name="Vírgula 4 5 2" xfId="1491"/>
    <cellStyle name="Vírgula 4 5 2 2" xfId="1492"/>
    <cellStyle name="Vírgula 4 5 3" xfId="1493"/>
    <cellStyle name="Vírgula 5" xfId="2"/>
    <cellStyle name="Vírgula 5 2" xfId="1320"/>
    <cellStyle name="Vírgula 5 2 2" xfId="1321"/>
    <cellStyle name="Vírgula 5 2 2 2" xfId="2724"/>
    <cellStyle name="Vírgula 5 2 3" xfId="2725"/>
    <cellStyle name="Vírgula 5 3" xfId="1322"/>
    <cellStyle name="Vírgula 5 3 2" xfId="2726"/>
    <cellStyle name="Vírgula 5 4" xfId="1323"/>
    <cellStyle name="Vírgula 5 4 2" xfId="2727"/>
    <cellStyle name="Vírgula 5 5" xfId="1319"/>
    <cellStyle name="Vírgula 6" xfId="179"/>
    <cellStyle name="Vírgula 6 2" xfId="1325"/>
    <cellStyle name="Vírgula 6 2 2" xfId="2728"/>
    <cellStyle name="Vírgula 6 3" xfId="1324"/>
    <cellStyle name="Vírgula 7" xfId="1326"/>
    <cellStyle name="Vírgula 7 2" xfId="1494"/>
    <cellStyle name="Vírgula 7 3" xfId="1495"/>
    <cellStyle name="Vírgula 8" xfId="1327"/>
    <cellStyle name="Vírgula 8 2" xfId="1496"/>
    <cellStyle name="Vírgula 8 3" xfId="1497"/>
    <cellStyle name="Vírgula 9" xfId="1498"/>
    <cellStyle name="Warning Text" xfId="1328"/>
    <cellStyle name="Warning Text 2" xfId="1329"/>
    <cellStyle name="Warning Text 2 2" xfId="2729"/>
    <cellStyle name="Warning Text 3" xfId="27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400050</xdr:colOff>
      <xdr:row>1</xdr:row>
      <xdr:rowOff>28575</xdr:rowOff>
    </xdr:from>
    <xdr:ext cx="1943100" cy="552450"/>
    <xdr:pic>
      <xdr:nvPicPr>
        <xdr:cNvPr id="2" name="image1.jpg" descr="Sombreado vertical à direita PO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25" name="image1.jpg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26" name="Picture 2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3" name="image1.jpg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4" name="Picture 2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27" name="Picture 3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28" name="Picture 4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29" name="Picture 5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0" name="Picture 6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5" name="image1.jpg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6" name="Picture 2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7" name="Picture 3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8" name="Picture 4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9" name="Picture 5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" name="Picture 6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1" name="Picture 7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2" name="Picture 8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3" name="Picture 9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4" name="Picture 10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5" name="Picture 11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6" name="Picture 12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7" name="Picture 13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</xdr:col>
      <xdr:colOff>400050</xdr:colOff>
      <xdr:row>1</xdr:row>
      <xdr:rowOff>28575</xdr:rowOff>
    </xdr:from>
    <xdr:to>
      <xdr:col>8</xdr:col>
      <xdr:colOff>514350</xdr:colOff>
      <xdr:row>4</xdr:row>
      <xdr:rowOff>0</xdr:rowOff>
    </xdr:to>
    <xdr:pic>
      <xdr:nvPicPr>
        <xdr:cNvPr id="1038" name="Picture 14" descr="Sombreado vertical à direita PO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0"/>
          <a:ext cx="19431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328084</xdr:colOff>
      <xdr:row>2</xdr:row>
      <xdr:rowOff>78318</xdr:rowOff>
    </xdr:from>
    <xdr:ext cx="2371724" cy="747183"/>
    <xdr:pic>
      <xdr:nvPicPr>
        <xdr:cNvPr id="2" name="image1.jpg" descr="Sombreado vertical à direita POA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39917" y="681568"/>
          <a:ext cx="2371724" cy="74718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32</xdr:col>
      <xdr:colOff>408153</xdr:colOff>
      <xdr:row>15</xdr:row>
      <xdr:rowOff>218340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5450" y="1619250"/>
          <a:ext cx="11380953" cy="5885715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6</xdr:row>
      <xdr:rowOff>171450</xdr:rowOff>
    </xdr:from>
    <xdr:to>
      <xdr:col>13</xdr:col>
      <xdr:colOff>809625</xdr:colOff>
      <xdr:row>7</xdr:row>
      <xdr:rowOff>304800</xdr:rowOff>
    </xdr:to>
    <xdr:cxnSp macro="">
      <xdr:nvCxnSpPr>
        <xdr:cNvPr id="4" name="Conector de seta reta 3"/>
        <xdr:cNvCxnSpPr/>
      </xdr:nvCxnSpPr>
      <xdr:spPr>
        <a:xfrm>
          <a:off x="11601450" y="1790700"/>
          <a:ext cx="5324475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133351</xdr:rowOff>
    </xdr:from>
    <xdr:to>
      <xdr:col>6</xdr:col>
      <xdr:colOff>38100</xdr:colOff>
      <xdr:row>5</xdr:row>
      <xdr:rowOff>161925</xdr:rowOff>
    </xdr:to>
    <xdr:pic>
      <xdr:nvPicPr>
        <xdr:cNvPr id="2" name="Imagem 2" descr="Sombreado vertical à direita PO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33351"/>
          <a:ext cx="2828925" cy="106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133351</xdr:rowOff>
    </xdr:from>
    <xdr:to>
      <xdr:col>6</xdr:col>
      <xdr:colOff>38100</xdr:colOff>
      <xdr:row>5</xdr:row>
      <xdr:rowOff>161925</xdr:rowOff>
    </xdr:to>
    <xdr:pic>
      <xdr:nvPicPr>
        <xdr:cNvPr id="2" name="Imagem 2" descr="Sombreado vertical à direita PO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33351"/>
          <a:ext cx="2828925" cy="106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/Analise%20Contratos/Planilhas%20de%20Contrados/ACECO%20TI%20LTDA.%20-%20PAC%20126.218%20(11.444)%20-%20PR&#201;DIO%20DENOMINADO%20CI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. NF (18ª medição)"/>
      <sheetName val="ª medição (Editado p Heitor)"/>
      <sheetName val="medição (com reajuste)"/>
      <sheetName val="20ª medição"/>
      <sheetName val="1ª medição"/>
      <sheetName val="Demonstrativo"/>
      <sheetName val="Conf. Nota Fiscal"/>
      <sheetName val="Conf. NF (modelo) (zerada)"/>
      <sheetName val="ª medição"/>
      <sheetName val="19ª medição"/>
      <sheetName val="18ª medição"/>
      <sheetName val="17ª medição"/>
      <sheetName val="Conf. NF (16ª medição)"/>
      <sheetName val="Planilha original"/>
      <sheetName val="Nova Planilha Reajustada"/>
      <sheetName val="Nova Planilha Reajustada (2)"/>
      <sheetName val="Calculo Reajuste Retroativo"/>
      <sheetName val="Calculo Reaju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7" zoomScale="90" zoomScaleNormal="100" zoomScaleSheetLayoutView="90" workbookViewId="0">
      <selection activeCell="C15" sqref="C15"/>
    </sheetView>
  </sheetViews>
  <sheetFormatPr defaultColWidth="14.42578125" defaultRowHeight="15" customHeight="1"/>
  <cols>
    <col min="1" max="1" width="17.28515625" customWidth="1"/>
    <col min="2" max="2" width="19.85546875" customWidth="1"/>
    <col min="3" max="3" width="10.5703125" customWidth="1"/>
    <col min="4" max="10" width="9.140625" customWidth="1"/>
    <col min="11" max="26" width="8.7109375" customWidth="1"/>
  </cols>
  <sheetData>
    <row r="1" spans="1:26" ht="12.75" customHeight="1">
      <c r="A1" s="1"/>
      <c r="B1" s="3"/>
      <c r="C1" s="3"/>
      <c r="D1" s="3"/>
      <c r="E1" s="3"/>
      <c r="F1" s="3"/>
      <c r="G1" s="3"/>
      <c r="H1" s="3"/>
      <c r="I1" s="3"/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9"/>
      <c r="B2" s="10"/>
      <c r="C2" s="10"/>
      <c r="D2" s="10"/>
      <c r="E2" s="10"/>
      <c r="F2" s="10"/>
      <c r="G2" s="10"/>
      <c r="H2" s="10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.25" customHeight="1">
      <c r="A3" s="383" t="s">
        <v>2</v>
      </c>
      <c r="B3" s="384"/>
      <c r="C3" s="384"/>
      <c r="D3" s="384"/>
      <c r="E3" s="384"/>
      <c r="F3" s="385"/>
      <c r="G3" s="13"/>
      <c r="H3" s="10"/>
      <c r="I3" s="10"/>
      <c r="J3" s="1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9"/>
      <c r="B4" s="10"/>
      <c r="C4" s="10"/>
      <c r="D4" s="10"/>
      <c r="E4" s="10"/>
      <c r="F4" s="10"/>
      <c r="G4" s="10"/>
      <c r="H4" s="10"/>
      <c r="I4" s="10"/>
      <c r="J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9"/>
      <c r="B5" s="10"/>
      <c r="C5" s="10"/>
      <c r="D5" s="10"/>
      <c r="E5" s="10"/>
      <c r="F5" s="10"/>
      <c r="G5" s="10"/>
      <c r="H5" s="10"/>
      <c r="I5" s="10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9"/>
      <c r="B6" s="10"/>
      <c r="C6" s="10"/>
      <c r="D6" s="10"/>
      <c r="E6" s="10"/>
      <c r="F6" s="10"/>
      <c r="G6" s="10"/>
      <c r="H6" s="10"/>
      <c r="I6" s="10"/>
      <c r="J6" s="1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14" t="s">
        <v>62</v>
      </c>
      <c r="B7" s="15" t="str">
        <f>Orçamento!B2</f>
        <v>ADEQUAÇÕES SIMULAÇÃO - 6º BLOCO C</v>
      </c>
      <c r="C7" s="16"/>
      <c r="D7" s="16"/>
      <c r="E7" s="16"/>
      <c r="F7" s="16"/>
      <c r="G7" s="16"/>
      <c r="H7" s="10"/>
      <c r="I7" s="10"/>
      <c r="J7" s="1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14" t="s">
        <v>4</v>
      </c>
      <c r="B8" s="10" t="s">
        <v>5</v>
      </c>
      <c r="C8" s="16"/>
      <c r="D8" s="16"/>
      <c r="E8" s="16"/>
      <c r="F8" s="16"/>
      <c r="G8" s="16"/>
      <c r="H8" s="10"/>
      <c r="I8" s="10"/>
      <c r="J8" s="1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14" t="s">
        <v>6</v>
      </c>
      <c r="B9" s="10" t="s">
        <v>7</v>
      </c>
      <c r="C9" s="16"/>
      <c r="D9" s="16"/>
      <c r="E9" s="16"/>
      <c r="F9" s="16"/>
      <c r="G9" s="16"/>
      <c r="H9" s="10"/>
      <c r="I9" s="10"/>
      <c r="J9" s="1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14"/>
      <c r="B10" s="17"/>
      <c r="C10" s="10"/>
      <c r="D10" s="10"/>
      <c r="E10" s="10"/>
      <c r="F10" s="10"/>
      <c r="G10" s="10"/>
      <c r="H10" s="10"/>
      <c r="I10" s="10"/>
      <c r="J10" s="1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9"/>
      <c r="B12" s="10"/>
      <c r="C12" s="10"/>
      <c r="D12" s="10"/>
      <c r="E12" s="10"/>
      <c r="F12" s="10"/>
      <c r="G12" s="10"/>
      <c r="H12" s="10"/>
      <c r="I12" s="10"/>
      <c r="J12" s="1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9" t="s">
        <v>8</v>
      </c>
      <c r="B14" s="10"/>
      <c r="C14" s="18">
        <v>0.81850000000000001</v>
      </c>
      <c r="D14" s="10"/>
      <c r="E14" s="10"/>
      <c r="F14" s="10"/>
      <c r="G14" s="10"/>
      <c r="H14" s="10"/>
      <c r="I14" s="10"/>
      <c r="J14" s="1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9" t="s">
        <v>9</v>
      </c>
      <c r="B15" s="10"/>
      <c r="C15" s="18">
        <v>0.45739999999999997</v>
      </c>
      <c r="D15" s="10"/>
      <c r="E15" s="10"/>
      <c r="F15" s="10"/>
      <c r="G15" s="10"/>
      <c r="H15" s="10"/>
      <c r="I15" s="10"/>
      <c r="J15" s="1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9"/>
      <c r="B16" s="10"/>
      <c r="C16" s="10"/>
      <c r="D16" s="10"/>
      <c r="E16" s="10"/>
      <c r="F16" s="10"/>
      <c r="G16" s="10"/>
      <c r="H16" s="10"/>
      <c r="I16" s="10"/>
      <c r="J16" s="1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9" t="s">
        <v>1</v>
      </c>
      <c r="B17" s="10"/>
      <c r="C17" s="18">
        <f>(((1+(D31+D32+D33))*(1+D34)*(1+D35))/(1-D36))-1</f>
        <v>0.24968584787892145</v>
      </c>
      <c r="D17" s="10"/>
      <c r="E17" s="10"/>
      <c r="F17" s="10"/>
      <c r="G17" s="10"/>
      <c r="H17" s="10"/>
      <c r="I17" s="10"/>
      <c r="J17" s="1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9"/>
      <c r="B18" s="10"/>
      <c r="C18" s="10"/>
      <c r="D18" s="10"/>
      <c r="E18" s="10"/>
      <c r="F18" s="10"/>
      <c r="G18" s="10"/>
      <c r="H18" s="10"/>
      <c r="I18" s="10"/>
      <c r="J18" s="1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9" t="s">
        <v>24</v>
      </c>
      <c r="B19" s="10"/>
      <c r="C19" s="18">
        <v>0.1497</v>
      </c>
      <c r="D19" s="10"/>
      <c r="E19" s="10"/>
      <c r="F19" s="10"/>
      <c r="G19" s="10"/>
      <c r="H19" s="10"/>
      <c r="I19" s="10"/>
      <c r="J19" s="1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9"/>
      <c r="B20" s="10"/>
      <c r="C20" s="10"/>
      <c r="D20" s="10"/>
      <c r="E20" s="10"/>
      <c r="F20" s="10"/>
      <c r="G20" s="10"/>
      <c r="H20" s="10"/>
      <c r="I20" s="10"/>
      <c r="J20" s="1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19" t="s">
        <v>25</v>
      </c>
      <c r="B22" s="10"/>
      <c r="C22" s="10"/>
      <c r="D22" s="10"/>
      <c r="E22" s="10"/>
      <c r="F22" s="10"/>
      <c r="G22" s="10"/>
      <c r="H22" s="10"/>
      <c r="I22" s="10"/>
      <c r="J22" s="11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9" t="s">
        <v>26</v>
      </c>
      <c r="B24" s="10"/>
      <c r="C24" s="10"/>
      <c r="D24" s="10"/>
      <c r="E24" s="10"/>
      <c r="F24" s="10"/>
      <c r="G24" s="10"/>
      <c r="H24" s="10"/>
      <c r="I24" s="10"/>
      <c r="J24" s="1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"/>
      <c r="B26" s="20" t="s">
        <v>27</v>
      </c>
      <c r="C26" s="10"/>
      <c r="D26" s="10"/>
      <c r="E26" s="10"/>
      <c r="F26" s="10"/>
      <c r="G26" s="10"/>
      <c r="H26" s="10"/>
      <c r="I26" s="10"/>
      <c r="J26" s="1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9"/>
      <c r="B28" s="10"/>
      <c r="C28" s="10"/>
      <c r="D28" s="10"/>
      <c r="E28" s="10"/>
      <c r="F28" s="10"/>
      <c r="G28" s="10"/>
      <c r="H28" s="10"/>
      <c r="I28" s="10"/>
      <c r="J28" s="1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9" t="s">
        <v>28</v>
      </c>
      <c r="B29" s="10"/>
      <c r="C29" s="10"/>
      <c r="D29" s="10"/>
      <c r="E29" s="10"/>
      <c r="F29" s="10"/>
      <c r="G29" s="10"/>
      <c r="H29" s="10"/>
      <c r="I29" s="10"/>
      <c r="J29" s="1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9"/>
      <c r="B30" s="21"/>
      <c r="C30" s="21"/>
      <c r="D30" s="21"/>
      <c r="E30" s="10"/>
      <c r="F30" s="10"/>
      <c r="G30" s="10"/>
      <c r="H30" s="10"/>
      <c r="I30" s="10"/>
      <c r="J30" s="1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24"/>
      <c r="B31" s="25" t="s">
        <v>29</v>
      </c>
      <c r="C31" s="26" t="s">
        <v>31</v>
      </c>
      <c r="D31" s="27">
        <v>3.5000000000000003E-2</v>
      </c>
      <c r="E31" s="28"/>
      <c r="F31" s="10"/>
      <c r="G31" s="10"/>
      <c r="H31" s="10"/>
      <c r="I31" s="10"/>
      <c r="J31" s="1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24"/>
      <c r="B32" s="25" t="s">
        <v>32</v>
      </c>
      <c r="C32" s="26" t="s">
        <v>33</v>
      </c>
      <c r="D32" s="27">
        <v>9.7000000000000003E-3</v>
      </c>
      <c r="E32" s="28"/>
      <c r="F32" s="10"/>
      <c r="G32" s="10"/>
      <c r="H32" s="10"/>
      <c r="I32" s="10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24"/>
      <c r="B33" s="25" t="s">
        <v>34</v>
      </c>
      <c r="C33" s="26" t="s">
        <v>35</v>
      </c>
      <c r="D33" s="27">
        <v>8.0000000000000002E-3</v>
      </c>
      <c r="E33" s="28"/>
      <c r="F33" s="10"/>
      <c r="G33" s="10"/>
      <c r="H33" s="10"/>
      <c r="I33" s="10"/>
      <c r="J33" s="11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24"/>
      <c r="B34" s="25" t="s">
        <v>36</v>
      </c>
      <c r="C34" s="26" t="s">
        <v>37</v>
      </c>
      <c r="D34" s="27">
        <v>8.9999999999999993E-3</v>
      </c>
      <c r="E34" s="28"/>
      <c r="F34" s="10"/>
      <c r="G34" s="10"/>
      <c r="H34" s="10"/>
      <c r="I34" s="10"/>
      <c r="J34" s="1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24"/>
      <c r="B35" s="25" t="s">
        <v>38</v>
      </c>
      <c r="C35" s="26" t="s">
        <v>39</v>
      </c>
      <c r="D35" s="27">
        <v>6.5000000000000002E-2</v>
      </c>
      <c r="E35" s="28"/>
      <c r="F35" s="10"/>
      <c r="G35" s="10"/>
      <c r="H35" s="10"/>
      <c r="I35" s="10"/>
      <c r="J35" s="1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24"/>
      <c r="B36" s="25" t="s">
        <v>40</v>
      </c>
      <c r="C36" s="26" t="s">
        <v>41</v>
      </c>
      <c r="D36" s="27">
        <f>C45</f>
        <v>9.4799999999999995E-2</v>
      </c>
      <c r="E36" s="28"/>
      <c r="F36" s="10"/>
      <c r="G36" s="10"/>
      <c r="H36" s="10"/>
      <c r="I36" s="10"/>
      <c r="J36" s="1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9"/>
      <c r="B37" s="29"/>
      <c r="C37" s="29"/>
      <c r="D37" s="29"/>
      <c r="E37" s="10"/>
      <c r="F37" s="10"/>
      <c r="G37" s="10"/>
      <c r="H37" s="10"/>
      <c r="I37" s="10"/>
      <c r="J37" s="1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9"/>
      <c r="B38" s="10"/>
      <c r="C38" s="10"/>
      <c r="D38" s="10"/>
      <c r="E38" s="10"/>
      <c r="F38" s="10"/>
      <c r="G38" s="10"/>
      <c r="H38" s="10"/>
      <c r="I38" s="10"/>
      <c r="J38" s="11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9" t="s">
        <v>42</v>
      </c>
      <c r="B39" s="10"/>
      <c r="C39" s="10"/>
      <c r="D39" s="10"/>
      <c r="E39" s="10"/>
      <c r="F39" s="10"/>
      <c r="G39" s="10"/>
      <c r="H39" s="10"/>
      <c r="I39" s="10"/>
      <c r="J39" s="1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9"/>
      <c r="B40" s="21"/>
      <c r="C40" s="21"/>
      <c r="D40" s="10"/>
      <c r="E40" s="10"/>
      <c r="F40" s="10"/>
      <c r="G40" s="10"/>
      <c r="H40" s="10"/>
      <c r="I40" s="10"/>
      <c r="J40" s="11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24"/>
      <c r="B41" s="25" t="s">
        <v>43</v>
      </c>
      <c r="C41" s="30">
        <v>1.3299999999999999E-2</v>
      </c>
      <c r="D41" s="31"/>
      <c r="E41" s="10"/>
      <c r="F41" s="10"/>
      <c r="G41" s="10"/>
      <c r="H41" s="10"/>
      <c r="I41" s="10"/>
      <c r="J41" s="1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24"/>
      <c r="B42" s="25" t="s">
        <v>45</v>
      </c>
      <c r="C42" s="30">
        <v>6.4999999999999997E-3</v>
      </c>
      <c r="D42" s="31"/>
      <c r="E42" s="10"/>
      <c r="F42" s="10"/>
      <c r="G42" s="10"/>
      <c r="H42" s="10"/>
      <c r="I42" s="10"/>
      <c r="J42" s="1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24"/>
      <c r="B43" s="25" t="s">
        <v>46</v>
      </c>
      <c r="C43" s="30">
        <v>0.03</v>
      </c>
      <c r="D43" s="31"/>
      <c r="E43" s="10"/>
      <c r="F43" s="10"/>
      <c r="G43" s="10"/>
      <c r="H43" s="10"/>
      <c r="I43" s="10"/>
      <c r="J43" s="1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24"/>
      <c r="B44" s="25" t="s">
        <v>47</v>
      </c>
      <c r="C44" s="30">
        <v>4.4999999999999998E-2</v>
      </c>
      <c r="D44" s="31"/>
      <c r="E44" s="10"/>
      <c r="F44" s="10"/>
      <c r="G44" s="10"/>
      <c r="H44" s="10"/>
      <c r="I44" s="10"/>
      <c r="J44" s="1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24"/>
      <c r="B45" s="25" t="s">
        <v>40</v>
      </c>
      <c r="C45" s="33">
        <f>SUM(C41:C44)</f>
        <v>9.4799999999999995E-2</v>
      </c>
      <c r="D45" s="31"/>
      <c r="E45" s="10"/>
      <c r="F45" s="10"/>
      <c r="G45" s="10"/>
      <c r="H45" s="10"/>
      <c r="I45" s="10"/>
      <c r="J45" s="11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24"/>
      <c r="B46" s="7"/>
      <c r="C46" s="36"/>
      <c r="D46" s="31"/>
      <c r="E46" s="10"/>
      <c r="F46" s="10"/>
      <c r="G46" s="10"/>
      <c r="H46" s="10"/>
      <c r="I46" s="10"/>
      <c r="J46" s="11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24"/>
      <c r="B47" s="386" t="s">
        <v>48</v>
      </c>
      <c r="C47" s="387"/>
      <c r="D47" s="387"/>
      <c r="E47" s="387"/>
      <c r="F47" s="387"/>
      <c r="G47" s="387"/>
      <c r="H47" s="387"/>
      <c r="I47" s="387"/>
      <c r="J47" s="38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24"/>
      <c r="B48" s="389"/>
      <c r="C48" s="390"/>
      <c r="D48" s="390"/>
      <c r="E48" s="390"/>
      <c r="F48" s="390"/>
      <c r="G48" s="390"/>
      <c r="H48" s="390"/>
      <c r="I48" s="390"/>
      <c r="J48" s="39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9"/>
      <c r="B49" s="392"/>
      <c r="C49" s="393"/>
      <c r="D49" s="393"/>
      <c r="E49" s="393"/>
      <c r="F49" s="393"/>
      <c r="G49" s="393"/>
      <c r="H49" s="393"/>
      <c r="I49" s="393"/>
      <c r="J49" s="394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9"/>
      <c r="B50" s="395" t="s">
        <v>49</v>
      </c>
      <c r="C50" s="384"/>
      <c r="D50" s="384"/>
      <c r="E50" s="384"/>
      <c r="F50" s="384"/>
      <c r="G50" s="384"/>
      <c r="H50" s="384"/>
      <c r="I50" s="384"/>
      <c r="J50" s="39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9"/>
      <c r="B51" s="397"/>
      <c r="C51" s="384"/>
      <c r="D51" s="384"/>
      <c r="E51" s="384"/>
      <c r="F51" s="384"/>
      <c r="G51" s="384"/>
      <c r="H51" s="384"/>
      <c r="I51" s="384"/>
      <c r="J51" s="39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9"/>
      <c r="B52" s="10" t="s">
        <v>50</v>
      </c>
      <c r="C52" s="10"/>
      <c r="D52" s="10"/>
      <c r="E52" s="10"/>
      <c r="F52" s="10"/>
      <c r="G52" s="10"/>
      <c r="H52" s="10"/>
      <c r="I52" s="10"/>
      <c r="J52" s="1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9"/>
      <c r="B53" s="10" t="s">
        <v>51</v>
      </c>
      <c r="C53" s="10"/>
      <c r="D53" s="10"/>
      <c r="E53" s="10"/>
      <c r="F53" s="10"/>
      <c r="G53" s="10"/>
      <c r="H53" s="10"/>
      <c r="I53" s="10"/>
      <c r="J53" s="1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9"/>
      <c r="B54" s="10" t="s">
        <v>52</v>
      </c>
      <c r="C54" s="10"/>
      <c r="D54" s="10"/>
      <c r="E54" s="10"/>
      <c r="F54" s="10"/>
      <c r="G54" s="10"/>
      <c r="H54" s="10"/>
      <c r="I54" s="10"/>
      <c r="J54" s="1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9"/>
      <c r="B55" s="10" t="s">
        <v>53</v>
      </c>
      <c r="C55" s="10"/>
      <c r="D55" s="10"/>
      <c r="E55" s="10"/>
      <c r="F55" s="10"/>
      <c r="G55" s="10"/>
      <c r="H55" s="10"/>
      <c r="I55" s="10"/>
      <c r="J55" s="1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9"/>
      <c r="B56" s="38" t="s">
        <v>54</v>
      </c>
      <c r="C56" s="39"/>
      <c r="D56" s="39"/>
      <c r="E56" s="39"/>
      <c r="F56" s="39"/>
      <c r="G56" s="39"/>
      <c r="H56" s="39"/>
      <c r="I56" s="40"/>
      <c r="J56" s="1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9"/>
      <c r="B57" s="38" t="s">
        <v>55</v>
      </c>
      <c r="C57" s="39"/>
      <c r="D57" s="39"/>
      <c r="E57" s="39"/>
      <c r="F57" s="39"/>
      <c r="G57" s="39"/>
      <c r="H57" s="39"/>
      <c r="I57" s="40"/>
      <c r="J57" s="1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9"/>
      <c r="B58" s="38"/>
      <c r="C58" s="39"/>
      <c r="D58" s="39"/>
      <c r="E58" s="39"/>
      <c r="F58" s="39"/>
      <c r="G58" s="39"/>
      <c r="H58" s="39"/>
      <c r="I58" s="40"/>
      <c r="J58" s="1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9"/>
      <c r="B59" s="398" t="s">
        <v>56</v>
      </c>
      <c r="C59" s="387"/>
      <c r="D59" s="387"/>
      <c r="E59" s="387"/>
      <c r="F59" s="387"/>
      <c r="G59" s="387"/>
      <c r="H59" s="387"/>
      <c r="I59" s="399"/>
      <c r="J59" s="11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9"/>
      <c r="B60" s="389"/>
      <c r="C60" s="390"/>
      <c r="D60" s="390"/>
      <c r="E60" s="390"/>
      <c r="F60" s="390"/>
      <c r="G60" s="390"/>
      <c r="H60" s="390"/>
      <c r="I60" s="400"/>
      <c r="J60" s="1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9"/>
      <c r="B61" s="389"/>
      <c r="C61" s="390"/>
      <c r="D61" s="390"/>
      <c r="E61" s="390"/>
      <c r="F61" s="390"/>
      <c r="G61" s="390"/>
      <c r="H61" s="390"/>
      <c r="I61" s="400"/>
      <c r="J61" s="1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9"/>
      <c r="B62" s="389"/>
      <c r="C62" s="390"/>
      <c r="D62" s="390"/>
      <c r="E62" s="390"/>
      <c r="F62" s="390"/>
      <c r="G62" s="390"/>
      <c r="H62" s="390"/>
      <c r="I62" s="400"/>
      <c r="J62" s="1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9"/>
      <c r="B63" s="392"/>
      <c r="C63" s="393"/>
      <c r="D63" s="393"/>
      <c r="E63" s="393"/>
      <c r="F63" s="393"/>
      <c r="G63" s="393"/>
      <c r="H63" s="393"/>
      <c r="I63" s="401"/>
      <c r="J63" s="1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9"/>
      <c r="B64" s="41" t="s">
        <v>57</v>
      </c>
      <c r="C64" s="10"/>
      <c r="D64" s="10"/>
      <c r="E64" s="10"/>
      <c r="F64" s="10"/>
      <c r="G64" s="10"/>
      <c r="H64" s="10"/>
      <c r="I64" s="10"/>
      <c r="J64" s="1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42"/>
      <c r="B65" s="43"/>
      <c r="C65" s="44"/>
      <c r="D65" s="44"/>
      <c r="E65" s="44"/>
      <c r="F65" s="44"/>
      <c r="G65" s="44"/>
      <c r="H65" s="44"/>
      <c r="I65" s="45"/>
      <c r="J65" s="4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">
    <mergeCell ref="A3:F3"/>
    <mergeCell ref="B47:J49"/>
    <mergeCell ref="B50:J50"/>
    <mergeCell ref="B51:J51"/>
    <mergeCell ref="B59:I63"/>
  </mergeCells>
  <pageMargins left="0.511811024" right="0.511811024" top="0.78740157499999996" bottom="0.78740157499999996" header="0" footer="0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9"/>
  <sheetViews>
    <sheetView tabSelected="1" view="pageBreakPreview" zoomScaleNormal="90" zoomScaleSheetLayoutView="100" workbookViewId="0">
      <pane ySplit="8" topLeftCell="A141" activePane="bottomLeft" state="frozen"/>
      <selection pane="bottomLeft" activeCell="N5" sqref="N5"/>
    </sheetView>
  </sheetViews>
  <sheetFormatPr defaultColWidth="14.42578125" defaultRowHeight="15" customHeight="1"/>
  <cols>
    <col min="1" max="1" width="9.5703125" style="229" customWidth="1"/>
    <col min="2" max="2" width="10.140625" customWidth="1"/>
    <col min="3" max="3" width="14.28515625" bestFit="1" customWidth="1"/>
    <col min="4" max="4" width="71.85546875" customWidth="1"/>
    <col min="5" max="5" width="8.42578125" customWidth="1"/>
    <col min="6" max="6" width="12.140625" style="196" customWidth="1"/>
    <col min="7" max="7" width="14.42578125" customWidth="1"/>
    <col min="8" max="8" width="13.85546875" customWidth="1"/>
    <col min="9" max="10" width="13.5703125" customWidth="1"/>
    <col min="11" max="11" width="13.42578125" customWidth="1"/>
    <col min="12" max="12" width="13.85546875" customWidth="1"/>
    <col min="13" max="13" width="16.42578125" style="219" customWidth="1"/>
    <col min="14" max="14" width="13.42578125" bestFit="1" customWidth="1"/>
    <col min="15" max="15" width="14.42578125" style="64"/>
  </cols>
  <sheetData>
    <row r="1" spans="1:26" ht="20.25" customHeight="1">
      <c r="A1" s="402" t="s">
        <v>70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4"/>
      <c r="P1" s="107"/>
    </row>
    <row r="2" spans="1:26" ht="15.75">
      <c r="A2" s="220" t="s">
        <v>62</v>
      </c>
      <c r="B2" s="67" t="s">
        <v>273</v>
      </c>
      <c r="C2" s="67"/>
      <c r="D2" s="68"/>
      <c r="E2" s="69"/>
      <c r="F2" s="186"/>
      <c r="G2" s="71"/>
      <c r="H2" s="72"/>
      <c r="I2" s="70"/>
      <c r="J2" s="70"/>
      <c r="K2" s="70"/>
      <c r="L2" s="70"/>
      <c r="M2" s="208"/>
      <c r="N2" s="73"/>
      <c r="O2" s="62"/>
      <c r="P2" s="4"/>
      <c r="Q2" s="4"/>
      <c r="R2" s="4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74"/>
      <c r="B3" s="75"/>
      <c r="C3" s="75"/>
      <c r="D3" s="76"/>
      <c r="E3" s="75"/>
      <c r="F3" s="187" t="s">
        <v>1</v>
      </c>
      <c r="G3" s="77">
        <f>'BDI e Encargos'!C17</f>
        <v>0.24968584787892145</v>
      </c>
      <c r="H3" s="49"/>
      <c r="I3" s="78"/>
      <c r="J3" s="75"/>
      <c r="K3" s="75"/>
      <c r="L3" s="75"/>
      <c r="M3" s="209" t="s">
        <v>69</v>
      </c>
      <c r="N3" s="79">
        <v>44409</v>
      </c>
      <c r="O3" s="62"/>
      <c r="P3" s="48"/>
      <c r="Q3" s="8"/>
      <c r="R3" s="8"/>
    </row>
    <row r="4" spans="1:26" ht="15.75" customHeight="1">
      <c r="A4" s="74" t="s">
        <v>67</v>
      </c>
      <c r="B4" s="80"/>
      <c r="C4" s="75"/>
      <c r="D4" s="76"/>
      <c r="E4" s="75"/>
      <c r="F4" s="187" t="s">
        <v>24</v>
      </c>
      <c r="G4" s="77">
        <f>'BDI e Encargos'!C19</f>
        <v>0.1497</v>
      </c>
      <c r="H4" s="49"/>
      <c r="I4" s="78"/>
      <c r="J4" s="75"/>
      <c r="K4" s="75"/>
      <c r="L4" s="75"/>
      <c r="M4" s="210" t="s">
        <v>83</v>
      </c>
      <c r="N4" s="81" t="s">
        <v>421</v>
      </c>
      <c r="O4" s="62"/>
      <c r="P4" s="48"/>
      <c r="Q4" s="8"/>
      <c r="R4" s="8"/>
    </row>
    <row r="5" spans="1:26" ht="15.75" customHeight="1">
      <c r="A5" s="74" t="s">
        <v>68</v>
      </c>
      <c r="B5" s="80"/>
      <c r="C5" s="75"/>
      <c r="D5" s="76"/>
      <c r="E5" s="75"/>
      <c r="F5" s="187" t="s">
        <v>65</v>
      </c>
      <c r="G5" s="77">
        <f>'BDI e Encargos'!C14</f>
        <v>0.81850000000000001</v>
      </c>
      <c r="H5" s="80"/>
      <c r="I5" s="78"/>
      <c r="J5" s="75"/>
      <c r="K5" s="75"/>
      <c r="L5" s="75"/>
      <c r="M5" s="210" t="s">
        <v>3</v>
      </c>
      <c r="N5" s="82">
        <f>M247</f>
        <v>270467.70000000013</v>
      </c>
      <c r="O5" s="205">
        <f>SUMPRODUCT(F:F,I:I)+SUMPRODUCT(F:F,J:J)</f>
        <v>270467.70998749993</v>
      </c>
      <c r="P5" s="48"/>
      <c r="Q5" s="8"/>
      <c r="R5" s="8"/>
    </row>
    <row r="6" spans="1:26" ht="15.75" customHeight="1">
      <c r="A6" s="74"/>
      <c r="B6" s="83"/>
      <c r="C6" s="80"/>
      <c r="D6" s="76"/>
      <c r="E6" s="75"/>
      <c r="F6" s="187" t="s">
        <v>66</v>
      </c>
      <c r="G6" s="77">
        <f>'BDI e Encargos'!C15</f>
        <v>0.45739999999999997</v>
      </c>
      <c r="H6" s="84"/>
      <c r="I6" s="78"/>
      <c r="J6" s="75"/>
      <c r="K6" s="75"/>
      <c r="L6" s="75"/>
      <c r="M6" s="209"/>
      <c r="N6" s="81"/>
      <c r="O6" s="206" t="e">
        <f>M15+M9+M64+M135+M180+M210+#REF!</f>
        <v>#REF!</v>
      </c>
      <c r="P6" s="48"/>
      <c r="Q6" s="8"/>
      <c r="R6" s="8"/>
    </row>
    <row r="7" spans="1:26" ht="15.75" customHeight="1" thickBot="1">
      <c r="A7" s="221"/>
      <c r="B7" s="108" t="s">
        <v>64</v>
      </c>
      <c r="C7" s="53"/>
      <c r="D7" s="54"/>
      <c r="E7" s="75"/>
      <c r="F7" s="188"/>
      <c r="G7" s="57"/>
      <c r="H7" s="57"/>
      <c r="I7" s="56"/>
      <c r="J7" s="56"/>
      <c r="K7" s="56"/>
      <c r="L7" s="56"/>
      <c r="M7" s="211"/>
      <c r="N7" s="85"/>
      <c r="O7" s="62"/>
      <c r="P7" s="48"/>
      <c r="Q7" s="8"/>
      <c r="R7" s="8"/>
    </row>
    <row r="8" spans="1:26" ht="45.75" thickBot="1">
      <c r="A8" s="222" t="s">
        <v>10</v>
      </c>
      <c r="B8" s="65" t="s">
        <v>11</v>
      </c>
      <c r="C8" s="86" t="s">
        <v>12</v>
      </c>
      <c r="D8" s="86" t="s">
        <v>13</v>
      </c>
      <c r="E8" s="55" t="s">
        <v>14</v>
      </c>
      <c r="F8" s="189" t="s">
        <v>15</v>
      </c>
      <c r="G8" s="87" t="s">
        <v>16</v>
      </c>
      <c r="H8" s="87" t="s">
        <v>17</v>
      </c>
      <c r="I8" s="87" t="s">
        <v>18</v>
      </c>
      <c r="J8" s="87" t="s">
        <v>19</v>
      </c>
      <c r="K8" s="87" t="s">
        <v>20</v>
      </c>
      <c r="L8" s="87" t="s">
        <v>21</v>
      </c>
      <c r="M8" s="212" t="s">
        <v>22</v>
      </c>
      <c r="N8" s="88" t="s">
        <v>23</v>
      </c>
      <c r="O8" s="62"/>
      <c r="P8" s="8"/>
      <c r="Q8" s="8"/>
      <c r="R8" s="8"/>
    </row>
    <row r="9" spans="1:26" ht="15.75" customHeight="1" thickBot="1">
      <c r="A9" s="223" t="s">
        <v>86</v>
      </c>
      <c r="B9" s="60" t="s">
        <v>63</v>
      </c>
      <c r="C9" s="89"/>
      <c r="D9" s="90"/>
      <c r="E9" s="89"/>
      <c r="F9" s="190"/>
      <c r="G9" s="92"/>
      <c r="H9" s="92"/>
      <c r="I9" s="91"/>
      <c r="J9" s="91"/>
      <c r="K9" s="91"/>
      <c r="L9" s="91"/>
      <c r="M9" s="213">
        <f>SUBTOTAL(9,M10:M13)</f>
        <v>55528.350000000013</v>
      </c>
      <c r="N9" s="93">
        <f>SUBTOTAL(9,N10:N13)</f>
        <v>0.20530492180766863</v>
      </c>
      <c r="O9" s="63"/>
      <c r="P9" s="22"/>
      <c r="Q9" s="22"/>
      <c r="R9" s="22"/>
      <c r="S9" s="23"/>
      <c r="T9" s="23"/>
      <c r="U9" s="23"/>
      <c r="V9" s="23"/>
      <c r="W9" s="23"/>
      <c r="X9" s="23"/>
      <c r="Y9" s="23"/>
      <c r="Z9" s="23"/>
    </row>
    <row r="10" spans="1:26" s="106" customFormat="1" ht="13.5" thickBot="1">
      <c r="A10" s="224" t="s">
        <v>413</v>
      </c>
      <c r="B10" s="49" t="s">
        <v>30</v>
      </c>
      <c r="C10" s="49">
        <v>90778</v>
      </c>
      <c r="D10" s="110" t="s">
        <v>60</v>
      </c>
      <c r="E10" s="99" t="s">
        <v>82</v>
      </c>
      <c r="F10" s="191">
        <f>20*3*2</f>
        <v>120</v>
      </c>
      <c r="G10" s="52"/>
      <c r="H10" s="52">
        <v>94.71</v>
      </c>
      <c r="I10" s="52">
        <f t="shared" ref="I10" si="0">ROUND(G10*(1+$G$3),2)</f>
        <v>0</v>
      </c>
      <c r="J10" s="52">
        <f t="shared" ref="J10" si="1">ROUND(H10*(1+$G$3),2)</f>
        <v>118.36</v>
      </c>
      <c r="K10" s="50">
        <f>ROUND(F10*I10,2)</f>
        <v>0</v>
      </c>
      <c r="L10" s="50">
        <f>ROUND(F10*J10,2)</f>
        <v>14203.2</v>
      </c>
      <c r="M10" s="214">
        <f>K10+L10</f>
        <v>14203.2</v>
      </c>
      <c r="N10" s="58">
        <f>IF(M10&gt;=0,M10/$N$5,"")</f>
        <v>5.2513479428412314E-2</v>
      </c>
      <c r="O10" s="62"/>
      <c r="P10" s="22" t="str">
        <f t="shared" ref="P10:P80" si="2">LEFT(A10,5)</f>
        <v>01.00</v>
      </c>
      <c r="Q10" s="48"/>
      <c r="R10" s="48"/>
    </row>
    <row r="11" spans="1:26" ht="13.5" thickBot="1">
      <c r="A11" s="224" t="s">
        <v>414</v>
      </c>
      <c r="B11" s="49" t="s">
        <v>30</v>
      </c>
      <c r="C11" s="49">
        <v>90780</v>
      </c>
      <c r="D11" s="76" t="s">
        <v>72</v>
      </c>
      <c r="E11" s="51" t="s">
        <v>82</v>
      </c>
      <c r="F11" s="191">
        <f>22*3*8</f>
        <v>528</v>
      </c>
      <c r="G11" s="52">
        <v>1.63</v>
      </c>
      <c r="H11" s="52">
        <v>57.19</v>
      </c>
      <c r="I11" s="50">
        <f t="shared" ref="I11:J11" si="3">ROUND(G11*(1+$G$3),2)</f>
        <v>2.04</v>
      </c>
      <c r="J11" s="50">
        <f t="shared" si="3"/>
        <v>71.47</v>
      </c>
      <c r="K11" s="50">
        <f t="shared" ref="K11" si="4">ROUND(F11*I11,2)</f>
        <v>1077.1199999999999</v>
      </c>
      <c r="L11" s="50">
        <f t="shared" ref="L11" si="5">ROUND(F11*J11,2)</f>
        <v>37736.160000000003</v>
      </c>
      <c r="M11" s="214">
        <f t="shared" ref="M11" si="6">K11+L11</f>
        <v>38813.280000000006</v>
      </c>
      <c r="N11" s="58">
        <f t="shared" ref="N11" si="7">IF(M11&gt;=0,M11/$N$5,"")</f>
        <v>0.14350430753838625</v>
      </c>
      <c r="O11" s="62"/>
      <c r="P11" s="22" t="str">
        <f t="shared" si="2"/>
        <v>01.00</v>
      </c>
      <c r="Q11" s="8"/>
      <c r="R11" s="8"/>
    </row>
    <row r="12" spans="1:26" s="66" customFormat="1" ht="13.5" thickBot="1">
      <c r="A12" s="224" t="s">
        <v>415</v>
      </c>
      <c r="B12" s="49" t="s">
        <v>58</v>
      </c>
      <c r="C12" s="94" t="s">
        <v>59</v>
      </c>
      <c r="D12" s="76" t="s">
        <v>61</v>
      </c>
      <c r="E12" s="49" t="s">
        <v>44</v>
      </c>
      <c r="F12" s="191">
        <v>1</v>
      </c>
      <c r="G12" s="52">
        <v>300</v>
      </c>
      <c r="H12" s="52"/>
      <c r="I12" s="50">
        <f t="shared" ref="I12:I13" si="8">ROUND(G12*(1+$G$3),2)</f>
        <v>374.91</v>
      </c>
      <c r="J12" s="50">
        <f t="shared" ref="J12:J13" si="9">ROUND(H12*(1+$G$3),2)</f>
        <v>0</v>
      </c>
      <c r="K12" s="50">
        <f t="shared" ref="K12:K13" si="10">ROUND(F12*I12,2)</f>
        <v>374.91</v>
      </c>
      <c r="L12" s="50">
        <f t="shared" ref="L12:L13" si="11">ROUND(F12*J12,2)</f>
        <v>0</v>
      </c>
      <c r="M12" s="214">
        <f t="shared" ref="M12:M13" si="12">K12+L12</f>
        <v>374.91</v>
      </c>
      <c r="N12" s="58">
        <f t="shared" ref="N12:N13" si="13">IF(M12&gt;=0,M12/$N$5,"")</f>
        <v>1.3861544280518519E-3</v>
      </c>
      <c r="O12" s="62"/>
      <c r="P12" s="22" t="str">
        <f t="shared" si="2"/>
        <v>01.00</v>
      </c>
      <c r="Q12" s="48"/>
      <c r="R12" s="48"/>
    </row>
    <row r="13" spans="1:26" s="109" customFormat="1" ht="26.25" thickBot="1">
      <c r="A13" s="224" t="s">
        <v>416</v>
      </c>
      <c r="B13" s="49" t="s">
        <v>30</v>
      </c>
      <c r="C13" s="49">
        <v>10775</v>
      </c>
      <c r="D13" s="76" t="s">
        <v>73</v>
      </c>
      <c r="E13" s="51" t="s">
        <v>0</v>
      </c>
      <c r="F13" s="191">
        <v>3</v>
      </c>
      <c r="G13" s="52">
        <v>570</v>
      </c>
      <c r="H13" s="52"/>
      <c r="I13" s="50">
        <f t="shared" si="8"/>
        <v>712.32</v>
      </c>
      <c r="J13" s="50">
        <f t="shared" si="9"/>
        <v>0</v>
      </c>
      <c r="K13" s="50">
        <f t="shared" si="10"/>
        <v>2136.96</v>
      </c>
      <c r="L13" s="50">
        <f t="shared" si="11"/>
        <v>0</v>
      </c>
      <c r="M13" s="214">
        <f t="shared" si="12"/>
        <v>2136.96</v>
      </c>
      <c r="N13" s="58">
        <f t="shared" si="13"/>
        <v>7.9009804128182363E-3</v>
      </c>
      <c r="O13" s="62"/>
      <c r="P13" s="22" t="str">
        <f t="shared" si="2"/>
        <v>01.00</v>
      </c>
      <c r="Q13" s="48"/>
      <c r="R13" s="48"/>
    </row>
    <row r="14" spans="1:26" ht="13.5" thickBot="1">
      <c r="A14" s="225"/>
      <c r="B14" s="34"/>
      <c r="C14" s="35"/>
      <c r="D14" s="61"/>
      <c r="E14" s="32"/>
      <c r="F14" s="192"/>
      <c r="G14" s="37"/>
      <c r="H14" s="37"/>
      <c r="I14" s="37"/>
      <c r="J14" s="37"/>
      <c r="K14" s="37"/>
      <c r="L14" s="37"/>
      <c r="M14" s="215"/>
      <c r="N14" s="59"/>
      <c r="O14" s="62"/>
      <c r="P14" s="22"/>
      <c r="Q14" s="8"/>
      <c r="R14" s="8"/>
    </row>
    <row r="15" spans="1:26" ht="15.75" customHeight="1" thickBot="1">
      <c r="A15" s="226" t="s">
        <v>275</v>
      </c>
      <c r="B15" s="112" t="s">
        <v>203</v>
      </c>
      <c r="C15" s="95"/>
      <c r="D15" s="96"/>
      <c r="E15" s="95"/>
      <c r="F15" s="193">
        <v>4</v>
      </c>
      <c r="G15" s="98"/>
      <c r="H15" s="98"/>
      <c r="I15" s="97"/>
      <c r="J15" s="97"/>
      <c r="K15" s="97"/>
      <c r="L15" s="97"/>
      <c r="M15" s="216">
        <f>SUBTOTAL(9,M16:M63)</f>
        <v>46871.63</v>
      </c>
      <c r="N15" s="93">
        <f>SUBTOTAL(9,N16:N63)</f>
        <v>0.17329843822386173</v>
      </c>
      <c r="O15" s="62"/>
      <c r="P15" s="22"/>
      <c r="Q15" s="8"/>
      <c r="R15" s="8"/>
    </row>
    <row r="16" spans="1:26" s="113" customFormat="1" ht="13.5" thickBot="1">
      <c r="A16" s="224" t="s">
        <v>276</v>
      </c>
      <c r="B16" s="49"/>
      <c r="C16" s="49"/>
      <c r="D16" s="197" t="s">
        <v>99</v>
      </c>
      <c r="E16" s="49"/>
      <c r="F16" s="191"/>
      <c r="G16" s="52"/>
      <c r="H16" s="52"/>
      <c r="I16" s="52"/>
      <c r="J16" s="52"/>
      <c r="K16" s="50"/>
      <c r="L16" s="50"/>
      <c r="M16" s="214"/>
      <c r="N16" s="58"/>
      <c r="O16" s="62"/>
      <c r="P16" s="22"/>
      <c r="Q16" s="48"/>
      <c r="R16" s="48"/>
    </row>
    <row r="17" spans="1:18" s="113" customFormat="1" ht="13.5" thickBot="1">
      <c r="A17" s="224" t="s">
        <v>277</v>
      </c>
      <c r="B17" s="49" t="s">
        <v>30</v>
      </c>
      <c r="C17" s="49">
        <v>97644</v>
      </c>
      <c r="D17" s="76" t="str">
        <f>VLOOKUP(C17,'Fonte Cotação'!B:E,2,0)</f>
        <v>Remoção De Portas, De Forma Manual, Sem Reaproveitamento. Af_12/2017</v>
      </c>
      <c r="E17" s="49" t="s">
        <v>104</v>
      </c>
      <c r="F17" s="191">
        <f>IFERROR(VLOOKUP(C17,LEVANTAMENTO!$C$11:$K$104,Orçamento!$F$15,0),"0")</f>
        <v>1.8900000000000001</v>
      </c>
      <c r="G17" s="52">
        <f>VLOOKUP(C17,'Fonte Cotação'!B:E,3,0)</f>
        <v>1.98</v>
      </c>
      <c r="H17" s="52">
        <f>VLOOKUP(C17,'Fonte Cotação'!B:E,4,0)</f>
        <v>5.01</v>
      </c>
      <c r="I17" s="50">
        <f t="shared" ref="I17:I18" si="14">ROUND(G17*(1+$G$3),2)</f>
        <v>2.4700000000000002</v>
      </c>
      <c r="J17" s="50">
        <f t="shared" ref="J17:J18" si="15">ROUND(H17*(1+$G$3),2)</f>
        <v>6.26</v>
      </c>
      <c r="K17" s="50">
        <f t="shared" ref="K17:K18" si="16">ROUND(F17*I17,2)</f>
        <v>4.67</v>
      </c>
      <c r="L17" s="50">
        <f t="shared" ref="L17:L18" si="17">ROUND(F17*J17,2)</f>
        <v>11.83</v>
      </c>
      <c r="M17" s="214">
        <f t="shared" ref="M17:M18" si="18">K17+L17</f>
        <v>16.5</v>
      </c>
      <c r="N17" s="58">
        <f t="shared" ref="N17:N18" si="19">IF(M17&gt;=0,M17/$N$5,"")</f>
        <v>6.1005436138954829E-5</v>
      </c>
      <c r="O17" s="62"/>
      <c r="P17" s="22" t="str">
        <f t="shared" si="2"/>
        <v>02.01</v>
      </c>
      <c r="Q17" s="48"/>
      <c r="R17" s="48"/>
    </row>
    <row r="18" spans="1:18" s="113" customFormat="1" ht="26.25" thickBot="1">
      <c r="A18" s="224" t="s">
        <v>278</v>
      </c>
      <c r="B18" s="49" t="s">
        <v>30</v>
      </c>
      <c r="C18" s="49">
        <v>97640</v>
      </c>
      <c r="D18" s="76" t="str">
        <f>VLOOKUP(C18,'Fonte Cotação'!B:E,2,0)</f>
        <v>Remoção De Forros De Drywall, Pvc E Fibromineral, De Forma Manual, Sem Reaproveitamento. Af_12/2017</v>
      </c>
      <c r="E18" s="49" t="s">
        <v>104</v>
      </c>
      <c r="F18" s="191">
        <f>IFERROR(VLOOKUP(C18,LEVANTAMENTO!$C$11:$K$104,Orçamento!$F$15,0),"0")</f>
        <v>50.715000000000003</v>
      </c>
      <c r="G18" s="52">
        <f>VLOOKUP(C18,'Fonte Cotação'!B:E,3,0)</f>
        <v>0.33</v>
      </c>
      <c r="H18" s="52">
        <f>VLOOKUP(C18,'Fonte Cotação'!B:E,4,0)</f>
        <v>1</v>
      </c>
      <c r="I18" s="50">
        <f t="shared" si="14"/>
        <v>0.41</v>
      </c>
      <c r="J18" s="50">
        <f t="shared" si="15"/>
        <v>1.25</v>
      </c>
      <c r="K18" s="50">
        <f t="shared" si="16"/>
        <v>20.79</v>
      </c>
      <c r="L18" s="50">
        <f t="shared" si="17"/>
        <v>63.39</v>
      </c>
      <c r="M18" s="214">
        <f t="shared" si="18"/>
        <v>84.18</v>
      </c>
      <c r="N18" s="58">
        <f t="shared" si="19"/>
        <v>3.1123864328346776E-4</v>
      </c>
      <c r="O18" s="62"/>
      <c r="P18" s="22" t="str">
        <f t="shared" si="2"/>
        <v>02.01</v>
      </c>
      <c r="Q18" s="48"/>
      <c r="R18" s="48"/>
    </row>
    <row r="19" spans="1:18" s="113" customFormat="1" ht="13.5" thickBot="1">
      <c r="A19" s="224" t="s">
        <v>279</v>
      </c>
      <c r="B19" s="49"/>
      <c r="C19" s="49"/>
      <c r="D19" s="197" t="s">
        <v>110</v>
      </c>
      <c r="E19" s="49"/>
      <c r="F19" s="191"/>
      <c r="G19" s="52"/>
      <c r="H19" s="52"/>
      <c r="I19" s="52"/>
      <c r="J19" s="52"/>
      <c r="K19" s="50"/>
      <c r="L19" s="50"/>
      <c r="M19" s="214"/>
      <c r="N19" s="58"/>
      <c r="O19" s="62"/>
      <c r="P19" s="22"/>
      <c r="Q19" s="48"/>
      <c r="R19" s="48"/>
    </row>
    <row r="20" spans="1:18" s="113" customFormat="1" ht="26.25" thickBot="1">
      <c r="A20" s="224" t="s">
        <v>280</v>
      </c>
      <c r="B20" s="49" t="s">
        <v>30</v>
      </c>
      <c r="C20" s="49">
        <v>96359</v>
      </c>
      <c r="D20" s="76" t="str">
        <f>VLOOKUP(C20,'Fonte Cotação'!B:E,2,0)</f>
        <v>Parede Com Placas De Gesso Acartonado (Drywall), Para Uso Interno, Com Duas Faces Simples E Estrutura Metálica Com Guias Simples, Com Vãos Af_06/2017_P</v>
      </c>
      <c r="E20" s="49" t="s">
        <v>71</v>
      </c>
      <c r="F20" s="191">
        <f>IFERROR(VLOOKUP(C20,LEVANTAMENTO!$C$11:$K$104,Orçamento!$F$15,0),"0")</f>
        <v>27.35</v>
      </c>
      <c r="G20" s="52">
        <f>VLOOKUP(C20,'Fonte Cotação'!B:E,3,0)</f>
        <v>98.78</v>
      </c>
      <c r="H20" s="52">
        <f>VLOOKUP(C20,'Fonte Cotação'!B:E,4,0)</f>
        <v>11.05</v>
      </c>
      <c r="I20" s="50">
        <f t="shared" ref="I20:I23" si="20">ROUND(G20*(1+$G$3),2)</f>
        <v>123.44</v>
      </c>
      <c r="J20" s="50">
        <f t="shared" ref="J20:J23" si="21">ROUND(H20*(1+$G$3),2)</f>
        <v>13.81</v>
      </c>
      <c r="K20" s="50">
        <f t="shared" ref="K20:K23" si="22">ROUND(F20*I20,2)</f>
        <v>3376.08</v>
      </c>
      <c r="L20" s="50">
        <f t="shared" ref="L20:L23" si="23">ROUND(F20*J20,2)</f>
        <v>377.7</v>
      </c>
      <c r="M20" s="214">
        <f t="shared" ref="M20:M23" si="24">K20+L20</f>
        <v>3753.7799999999997</v>
      </c>
      <c r="N20" s="58">
        <f t="shared" ref="N20:N23" si="25">IF(M20&gt;=0,M20/$N$5,"")</f>
        <v>1.3878847640587021E-2</v>
      </c>
      <c r="O20" s="62"/>
      <c r="P20" s="22" t="str">
        <f t="shared" si="2"/>
        <v>02.02</v>
      </c>
      <c r="Q20" s="48"/>
      <c r="R20" s="48"/>
    </row>
    <row r="21" spans="1:18" s="113" customFormat="1" ht="13.5" thickBot="1">
      <c r="A21" s="224" t="s">
        <v>281</v>
      </c>
      <c r="B21" s="49" t="s">
        <v>30</v>
      </c>
      <c r="C21" s="49">
        <v>96113</v>
      </c>
      <c r="D21" s="76" t="str">
        <f>VLOOKUP(C21,'Fonte Cotação'!B:E,2,0)</f>
        <v>Forro Em Placas De Gesso, Para Ambientes Comerciais. Af_05/2017_P</v>
      </c>
      <c r="E21" s="49" t="s">
        <v>71</v>
      </c>
      <c r="F21" s="191">
        <f>IFERROR(VLOOKUP(C21,LEVANTAMENTO!$C$11:$K$104,Orçamento!$F$15,0),"0")</f>
        <v>50.715000000000003</v>
      </c>
      <c r="G21" s="52">
        <f>VLOOKUP(C21,'Fonte Cotação'!B:E,3,0)</f>
        <v>18.939999999999998</v>
      </c>
      <c r="H21" s="52">
        <f>VLOOKUP(C21,'Fonte Cotação'!B:E,4,0)</f>
        <v>12.62</v>
      </c>
      <c r="I21" s="50">
        <f t="shared" si="20"/>
        <v>23.67</v>
      </c>
      <c r="J21" s="50">
        <f t="shared" si="21"/>
        <v>15.77</v>
      </c>
      <c r="K21" s="50">
        <f t="shared" si="22"/>
        <v>1200.42</v>
      </c>
      <c r="L21" s="50">
        <f t="shared" si="23"/>
        <v>799.78</v>
      </c>
      <c r="M21" s="214">
        <f t="shared" si="24"/>
        <v>2000.2</v>
      </c>
      <c r="N21" s="58">
        <f t="shared" si="25"/>
        <v>7.3953377797052995E-3</v>
      </c>
      <c r="O21" s="62"/>
      <c r="P21" s="22" t="str">
        <f t="shared" si="2"/>
        <v>02.02</v>
      </c>
      <c r="Q21" s="48"/>
      <c r="R21" s="48"/>
    </row>
    <row r="22" spans="1:18" s="113" customFormat="1" ht="13.5" thickBot="1">
      <c r="A22" s="224" t="s">
        <v>282</v>
      </c>
      <c r="B22" s="49" t="s">
        <v>30</v>
      </c>
      <c r="C22" s="49">
        <v>96374</v>
      </c>
      <c r="D22" s="76" t="str">
        <f>VLOOKUP(C22,'Fonte Cotação'!B:E,2,0)</f>
        <v>Instalação De Reforço De Madeira Em Parede Drywall. Af_06/2017</v>
      </c>
      <c r="E22" s="49" t="s">
        <v>75</v>
      </c>
      <c r="F22" s="191">
        <f>IFERROR(VLOOKUP(C22,LEVANTAMENTO!$C$11:$K$104,Orçamento!$F$15,0),"0")</f>
        <v>3.5999999999999996</v>
      </c>
      <c r="G22" s="52">
        <f>VLOOKUP(C22,'Fonte Cotação'!B:E,3,0)</f>
        <v>16.8</v>
      </c>
      <c r="H22" s="52">
        <f>VLOOKUP(C22,'Fonte Cotação'!B:E,4,0)</f>
        <v>1.47</v>
      </c>
      <c r="I22" s="50">
        <f t="shared" si="20"/>
        <v>20.99</v>
      </c>
      <c r="J22" s="50">
        <f t="shared" si="21"/>
        <v>1.84</v>
      </c>
      <c r="K22" s="50">
        <f t="shared" si="22"/>
        <v>75.56</v>
      </c>
      <c r="L22" s="50">
        <f t="shared" si="23"/>
        <v>6.62</v>
      </c>
      <c r="M22" s="214">
        <f t="shared" si="24"/>
        <v>82.18</v>
      </c>
      <c r="N22" s="58">
        <f t="shared" si="25"/>
        <v>3.0384404496359443E-4</v>
      </c>
      <c r="O22" s="62"/>
      <c r="P22" s="22" t="str">
        <f t="shared" si="2"/>
        <v>02.02</v>
      </c>
      <c r="Q22" s="48"/>
      <c r="R22" s="48"/>
    </row>
    <row r="23" spans="1:18" s="113" customFormat="1" ht="13.5" thickBot="1">
      <c r="A23" s="224" t="s">
        <v>283</v>
      </c>
      <c r="B23" s="49" t="s">
        <v>30</v>
      </c>
      <c r="C23" s="49" t="s">
        <v>127</v>
      </c>
      <c r="D23" s="76" t="str">
        <f>VLOOKUP(C23,'Fonte Cotação'!B:E,2,0)</f>
        <v>Alcapao Em Ferro 60X60Cm, Incluso Ferragens</v>
      </c>
      <c r="E23" s="49" t="s">
        <v>44</v>
      </c>
      <c r="F23" s="191">
        <v>3</v>
      </c>
      <c r="G23" s="52">
        <f>VLOOKUP(C23,'Fonte Cotação'!B:E,3,0)</f>
        <v>107.78</v>
      </c>
      <c r="H23" s="52">
        <f>VLOOKUP(C23,'Fonte Cotação'!B:E,4,0)</f>
        <v>16.77</v>
      </c>
      <c r="I23" s="50">
        <f t="shared" si="20"/>
        <v>134.69</v>
      </c>
      <c r="J23" s="50">
        <f t="shared" si="21"/>
        <v>20.96</v>
      </c>
      <c r="K23" s="50">
        <f t="shared" si="22"/>
        <v>404.07</v>
      </c>
      <c r="L23" s="50">
        <f t="shared" si="23"/>
        <v>62.88</v>
      </c>
      <c r="M23" s="214">
        <f t="shared" si="24"/>
        <v>466.95</v>
      </c>
      <c r="N23" s="58">
        <f t="shared" si="25"/>
        <v>1.7264538427324216E-3</v>
      </c>
      <c r="O23" s="62"/>
      <c r="P23" s="22" t="str">
        <f t="shared" si="2"/>
        <v>02.02</v>
      </c>
      <c r="Q23" s="48"/>
      <c r="R23" s="48"/>
    </row>
    <row r="24" spans="1:18" s="113" customFormat="1" ht="13.5" thickBot="1">
      <c r="A24" s="224" t="s">
        <v>284</v>
      </c>
      <c r="B24" s="49"/>
      <c r="C24" s="49"/>
      <c r="D24" s="197" t="s">
        <v>134</v>
      </c>
      <c r="E24" s="49"/>
      <c r="F24" s="191"/>
      <c r="G24" s="52"/>
      <c r="H24" s="52"/>
      <c r="I24" s="52"/>
      <c r="J24" s="52"/>
      <c r="K24" s="50"/>
      <c r="L24" s="50"/>
      <c r="M24" s="214"/>
      <c r="N24" s="58"/>
      <c r="O24" s="62"/>
      <c r="P24" s="22"/>
      <c r="Q24" s="48"/>
      <c r="R24" s="48"/>
    </row>
    <row r="25" spans="1:18" s="113" customFormat="1" ht="13.5" thickBot="1">
      <c r="A25" s="224" t="s">
        <v>285</v>
      </c>
      <c r="B25" s="49" t="s">
        <v>30</v>
      </c>
      <c r="C25" s="49">
        <v>88496</v>
      </c>
      <c r="D25" s="76" t="str">
        <f>VLOOKUP(C25,'Fonte Cotação'!B:E,2,0)</f>
        <v>Aplicação E Lixamento De Massa Látex Em Teto, Duas Demãos. Af_06/2014</v>
      </c>
      <c r="E25" s="49" t="s">
        <v>71</v>
      </c>
      <c r="F25" s="191">
        <f>IFERROR(VLOOKUP(C25,LEVANTAMENTO!$C$11:$K$104,Orçamento!$F$15,0),"0")</f>
        <v>50.715000000000003</v>
      </c>
      <c r="G25" s="52">
        <f>VLOOKUP(C25,'Fonte Cotação'!B:E,3,0)</f>
        <v>10.01</v>
      </c>
      <c r="H25" s="52">
        <f>VLOOKUP(C25,'Fonte Cotação'!B:E,4,0)</f>
        <v>12.85</v>
      </c>
      <c r="I25" s="50">
        <f t="shared" ref="I25:I30" si="26">ROUND(G25*(1+$G$3),2)</f>
        <v>12.51</v>
      </c>
      <c r="J25" s="50">
        <f t="shared" ref="J25:J30" si="27">ROUND(H25*(1+$G$3),2)</f>
        <v>16.059999999999999</v>
      </c>
      <c r="K25" s="50">
        <f t="shared" ref="K25:K30" si="28">ROUND(F25*I25,2)</f>
        <v>634.44000000000005</v>
      </c>
      <c r="L25" s="50">
        <f t="shared" ref="L25:L30" si="29">ROUND(F25*J25,2)</f>
        <v>814.48</v>
      </c>
      <c r="M25" s="214">
        <f t="shared" ref="M25:M30" si="30">K25+L25</f>
        <v>1448.92</v>
      </c>
      <c r="N25" s="58">
        <f t="shared" ref="N25:N30" si="31">IF(M25&gt;=0,M25/$N$5,"")</f>
        <v>5.3570906988154197E-3</v>
      </c>
      <c r="O25" s="62"/>
      <c r="P25" s="22" t="str">
        <f t="shared" si="2"/>
        <v>02.03</v>
      </c>
      <c r="Q25" s="48"/>
      <c r="R25" s="48"/>
    </row>
    <row r="26" spans="1:18" s="113" customFormat="1" ht="13.5" thickBot="1">
      <c r="A26" s="224" t="s">
        <v>286</v>
      </c>
      <c r="B26" s="49" t="s">
        <v>30</v>
      </c>
      <c r="C26" s="49">
        <v>88497</v>
      </c>
      <c r="D26" s="76" t="str">
        <f>VLOOKUP(C26,'Fonte Cotação'!B:E,2,0)</f>
        <v>Aplicação E Lixamento De Massa Látex Em Paredes, Duas Demãos. Af_06/2014</v>
      </c>
      <c r="E26" s="49" t="s">
        <v>71</v>
      </c>
      <c r="F26" s="191">
        <f>IFERROR(VLOOKUP(C26,LEVANTAMENTO!$C$11:$K$104,Orçamento!$F$15,0),"0")</f>
        <v>54.7</v>
      </c>
      <c r="G26" s="52">
        <f>VLOOKUP(C26,'Fonte Cotação'!B:E,3,0)</f>
        <v>7.0600000000000005</v>
      </c>
      <c r="H26" s="52">
        <f>VLOOKUP(C26,'Fonte Cotação'!B:E,4,0)</f>
        <v>5.95</v>
      </c>
      <c r="I26" s="50">
        <f t="shared" si="26"/>
        <v>8.82</v>
      </c>
      <c r="J26" s="50">
        <f t="shared" si="27"/>
        <v>7.44</v>
      </c>
      <c r="K26" s="50">
        <f t="shared" si="28"/>
        <v>482.45</v>
      </c>
      <c r="L26" s="50">
        <f t="shared" si="29"/>
        <v>406.97</v>
      </c>
      <c r="M26" s="214">
        <f t="shared" si="30"/>
        <v>889.42000000000007</v>
      </c>
      <c r="N26" s="58">
        <f t="shared" si="31"/>
        <v>3.2884518188308611E-3</v>
      </c>
      <c r="O26" s="62"/>
      <c r="P26" s="22" t="str">
        <f t="shared" si="2"/>
        <v>02.03</v>
      </c>
      <c r="Q26" s="48"/>
      <c r="R26" s="48"/>
    </row>
    <row r="27" spans="1:18" s="113" customFormat="1" ht="13.5" thickBot="1">
      <c r="A27" s="224" t="s">
        <v>287</v>
      </c>
      <c r="B27" s="49" t="s">
        <v>30</v>
      </c>
      <c r="C27" s="49">
        <v>88484</v>
      </c>
      <c r="D27" s="76" t="str">
        <f>VLOOKUP(C27,'Fonte Cotação'!B:E,2,0)</f>
        <v>Aplicação De Fundo Selador Acrílico Em Teto, Uma Demão. Af_06/2014</v>
      </c>
      <c r="E27" s="49" t="s">
        <v>71</v>
      </c>
      <c r="F27" s="191">
        <f>IFERROR(VLOOKUP(C27,LEVANTAMENTO!$C$11:$K$104,Orçamento!$F$15,0),"0")</f>
        <v>50.715000000000003</v>
      </c>
      <c r="G27" s="52">
        <f>VLOOKUP(C27,'Fonte Cotação'!B:E,3,0)</f>
        <v>1.47</v>
      </c>
      <c r="H27" s="52">
        <f>VLOOKUP(C27,'Fonte Cotação'!B:E,4,0)</f>
        <v>0.98</v>
      </c>
      <c r="I27" s="50">
        <f t="shared" si="26"/>
        <v>1.84</v>
      </c>
      <c r="J27" s="50">
        <f t="shared" si="27"/>
        <v>1.22</v>
      </c>
      <c r="K27" s="50">
        <f t="shared" si="28"/>
        <v>93.32</v>
      </c>
      <c r="L27" s="50">
        <f t="shared" si="29"/>
        <v>61.87</v>
      </c>
      <c r="M27" s="214">
        <f t="shared" si="30"/>
        <v>155.19</v>
      </c>
      <c r="N27" s="58">
        <f t="shared" si="31"/>
        <v>5.7378385663056967E-4</v>
      </c>
      <c r="O27" s="62"/>
      <c r="P27" s="22" t="str">
        <f t="shared" si="2"/>
        <v>02.03</v>
      </c>
      <c r="Q27" s="48"/>
      <c r="R27" s="48"/>
    </row>
    <row r="28" spans="1:18" s="113" customFormat="1" ht="13.5" thickBot="1">
      <c r="A28" s="224" t="s">
        <v>288</v>
      </c>
      <c r="B28" s="49" t="s">
        <v>30</v>
      </c>
      <c r="C28" s="49">
        <v>88485</v>
      </c>
      <c r="D28" s="76" t="str">
        <f>VLOOKUP(C28,'Fonte Cotação'!B:E,2,0)</f>
        <v>Aplicação De Fundo Selador Acrílico Em Paredes, Uma Demão. Af_06/2014</v>
      </c>
      <c r="E28" s="49" t="s">
        <v>71</v>
      </c>
      <c r="F28" s="191">
        <f>IFERROR(VLOOKUP(C28,LEVANTAMENTO!$C$11:$K$104,Orçamento!$F$15,0),"0")</f>
        <v>54.7</v>
      </c>
      <c r="G28" s="52">
        <f>VLOOKUP(C28,'Fonte Cotação'!B:E,3,0)</f>
        <v>1.37</v>
      </c>
      <c r="H28" s="52">
        <f>VLOOKUP(C28,'Fonte Cotação'!B:E,4,0)</f>
        <v>0.74</v>
      </c>
      <c r="I28" s="50">
        <f t="shared" si="26"/>
        <v>1.71</v>
      </c>
      <c r="J28" s="50">
        <f t="shared" si="27"/>
        <v>0.92</v>
      </c>
      <c r="K28" s="50">
        <f t="shared" si="28"/>
        <v>93.54</v>
      </c>
      <c r="L28" s="50">
        <f t="shared" si="29"/>
        <v>50.32</v>
      </c>
      <c r="M28" s="214">
        <f t="shared" si="30"/>
        <v>143.86000000000001</v>
      </c>
      <c r="N28" s="58">
        <f t="shared" si="31"/>
        <v>5.3189345714848744E-4</v>
      </c>
      <c r="O28" s="62"/>
      <c r="P28" s="22" t="str">
        <f t="shared" si="2"/>
        <v>02.03</v>
      </c>
      <c r="Q28" s="48"/>
      <c r="R28" s="48"/>
    </row>
    <row r="29" spans="1:18" s="113" customFormat="1" ht="26.25" thickBot="1">
      <c r="A29" s="224" t="s">
        <v>289</v>
      </c>
      <c r="B29" s="49" t="s">
        <v>30</v>
      </c>
      <c r="C29" s="49">
        <v>88488</v>
      </c>
      <c r="D29" s="76" t="str">
        <f>VLOOKUP(C29,'Fonte Cotação'!B:E,2,0)</f>
        <v>Aplicação Manual De Pintura Com Tinta Látex Acrílica Em Teto, Duas Demãos. Af_06/2014</v>
      </c>
      <c r="E29" s="49" t="s">
        <v>71</v>
      </c>
      <c r="F29" s="191">
        <f>IFERROR(VLOOKUP(C29,LEVANTAMENTO!$C$11:$K$104,Orçamento!$F$15,0),"0")</f>
        <v>50.715000000000003</v>
      </c>
      <c r="G29" s="52">
        <f>VLOOKUP(C29,'Fonte Cotação'!B:E,3,0)</f>
        <v>10.57</v>
      </c>
      <c r="H29" s="52">
        <f>VLOOKUP(C29,'Fonte Cotação'!B:E,4,0)</f>
        <v>4.6399999999999997</v>
      </c>
      <c r="I29" s="50">
        <f t="shared" si="26"/>
        <v>13.21</v>
      </c>
      <c r="J29" s="50">
        <f t="shared" si="27"/>
        <v>5.8</v>
      </c>
      <c r="K29" s="50">
        <f t="shared" si="28"/>
        <v>669.95</v>
      </c>
      <c r="L29" s="50">
        <f t="shared" si="29"/>
        <v>294.14999999999998</v>
      </c>
      <c r="M29" s="214">
        <f t="shared" si="30"/>
        <v>964.1</v>
      </c>
      <c r="N29" s="58">
        <f t="shared" si="31"/>
        <v>3.5645661200949304E-3</v>
      </c>
      <c r="O29" s="62"/>
      <c r="P29" s="22" t="str">
        <f t="shared" si="2"/>
        <v>02.03</v>
      </c>
      <c r="Q29" s="48"/>
      <c r="R29" s="48"/>
    </row>
    <row r="30" spans="1:18" s="113" customFormat="1" ht="26.25" thickBot="1">
      <c r="A30" s="224" t="s">
        <v>290</v>
      </c>
      <c r="B30" s="49" t="s">
        <v>30</v>
      </c>
      <c r="C30" s="49">
        <v>88489</v>
      </c>
      <c r="D30" s="76" t="str">
        <f>VLOOKUP(C30,'Fonte Cotação'!B:E,2,0)</f>
        <v>Aplicação Manual De Pintura Com Tinta Látex Acrílica Em Paredes, Duas Demãos. Af_06/2014</v>
      </c>
      <c r="E30" s="49" t="s">
        <v>71</v>
      </c>
      <c r="F30" s="191">
        <f>IFERROR(VLOOKUP(C30,LEVANTAMENTO!$C$11:$K$104,Orçamento!$F$15,0),"0")</f>
        <v>229.845</v>
      </c>
      <c r="G30" s="52">
        <f>VLOOKUP(C30,'Fonte Cotação'!B:E,3,0)</f>
        <v>10.09</v>
      </c>
      <c r="H30" s="52">
        <f>VLOOKUP(C30,'Fonte Cotação'!B:E,4,0)</f>
        <v>3.57</v>
      </c>
      <c r="I30" s="50">
        <f t="shared" si="26"/>
        <v>12.61</v>
      </c>
      <c r="J30" s="50">
        <f t="shared" si="27"/>
        <v>4.46</v>
      </c>
      <c r="K30" s="50">
        <f t="shared" si="28"/>
        <v>2898.35</v>
      </c>
      <c r="L30" s="50">
        <f t="shared" si="29"/>
        <v>1025.1099999999999</v>
      </c>
      <c r="M30" s="214">
        <f t="shared" si="30"/>
        <v>3923.46</v>
      </c>
      <c r="N30" s="58">
        <f t="shared" si="31"/>
        <v>1.4506205362045072E-2</v>
      </c>
      <c r="O30" s="62"/>
      <c r="P30" s="22" t="str">
        <f t="shared" si="2"/>
        <v>02.03</v>
      </c>
      <c r="Q30" s="48"/>
      <c r="R30" s="48"/>
    </row>
    <row r="31" spans="1:18" s="113" customFormat="1" ht="13.5" thickBot="1">
      <c r="A31" s="224" t="s">
        <v>291</v>
      </c>
      <c r="B31" s="49"/>
      <c r="C31" s="49"/>
      <c r="D31" s="197" t="s">
        <v>162</v>
      </c>
      <c r="E31" s="49"/>
      <c r="F31" s="191"/>
      <c r="G31" s="52"/>
      <c r="H31" s="52"/>
      <c r="I31" s="52"/>
      <c r="J31" s="52"/>
      <c r="K31" s="50"/>
      <c r="L31" s="50"/>
      <c r="M31" s="214"/>
      <c r="N31" s="58"/>
      <c r="O31" s="62"/>
      <c r="P31" s="22"/>
      <c r="Q31" s="48"/>
      <c r="R31" s="48"/>
    </row>
    <row r="32" spans="1:18" s="113" customFormat="1" ht="13.5" thickBot="1">
      <c r="A32" s="224" t="s">
        <v>292</v>
      </c>
      <c r="B32" s="49" t="s">
        <v>30</v>
      </c>
      <c r="C32" s="49">
        <v>99803</v>
      </c>
      <c r="D32" s="76" t="str">
        <f>VLOOKUP(C32,'Fonte Cotação'!B:E,2,0)</f>
        <v>Limpeza De Piso Cerâmico Ou Porcelanato Com Vassoura A Seco. Af_04/2019</v>
      </c>
      <c r="E32" s="49" t="s">
        <v>71</v>
      </c>
      <c r="F32" s="191">
        <f>IFERROR(VLOOKUP(C32,LEVANTAMENTO!$C$11:$K$104,Orçamento!$F$15,0),"0")</f>
        <v>0</v>
      </c>
      <c r="G32" s="52">
        <f>VLOOKUP(C32,'Fonte Cotação'!B:E,3,0)</f>
        <v>0.49</v>
      </c>
      <c r="H32" s="52">
        <f>VLOOKUP(C32,'Fonte Cotação'!B:E,4,0)</f>
        <v>1.1499999999999999</v>
      </c>
      <c r="I32" s="50">
        <f t="shared" ref="I32:I33" si="32">ROUND(G32*(1+$G$3),2)</f>
        <v>0.61</v>
      </c>
      <c r="J32" s="50">
        <f t="shared" ref="J32:J33" si="33">ROUND(H32*(1+$G$3),2)</f>
        <v>1.44</v>
      </c>
      <c r="K32" s="50">
        <f t="shared" ref="K32:K33" si="34">ROUND(F32*I32,2)</f>
        <v>0</v>
      </c>
      <c r="L32" s="50">
        <f t="shared" ref="L32:L33" si="35">ROUND(F32*J32,2)</f>
        <v>0</v>
      </c>
      <c r="M32" s="214">
        <f t="shared" ref="M32:M33" si="36">K32+L32</f>
        <v>0</v>
      </c>
      <c r="N32" s="58">
        <f t="shared" ref="N32:N33" si="37">IF(M32&gt;=0,M32/$N$5,"")</f>
        <v>0</v>
      </c>
      <c r="O32" s="62"/>
      <c r="P32" s="22" t="str">
        <f t="shared" si="2"/>
        <v>02.04</v>
      </c>
      <c r="Q32" s="48"/>
      <c r="R32" s="48"/>
    </row>
    <row r="33" spans="1:18" s="113" customFormat="1" ht="13.5" thickBot="1">
      <c r="A33" s="224" t="s">
        <v>293</v>
      </c>
      <c r="B33" s="49" t="s">
        <v>30</v>
      </c>
      <c r="C33" s="49">
        <v>88037</v>
      </c>
      <c r="D33" s="76" t="str">
        <f>VLOOKUP(C33,'Fonte Cotação'!B:E,2,0)</f>
        <v>Transporte Horizontal, Massa/Granel, Jerica 90L, 50M. Af_06/2014</v>
      </c>
      <c r="E33" s="49" t="s">
        <v>167</v>
      </c>
      <c r="F33" s="191">
        <f>IFERROR(VLOOKUP(C33,LEVANTAMENTO!$C$11:$K$104,Orçamento!$F$15,0),"0")</f>
        <v>0.50714999999999999</v>
      </c>
      <c r="G33" s="52">
        <f>VLOOKUP(C33,'Fonte Cotação'!B:E,3,0)</f>
        <v>13.79</v>
      </c>
      <c r="H33" s="52">
        <f>VLOOKUP(C33,'Fonte Cotação'!B:E,4,0)</f>
        <v>27.32</v>
      </c>
      <c r="I33" s="50">
        <f t="shared" si="32"/>
        <v>17.23</v>
      </c>
      <c r="J33" s="50">
        <f t="shared" si="33"/>
        <v>34.14</v>
      </c>
      <c r="K33" s="50">
        <f t="shared" si="34"/>
        <v>8.74</v>
      </c>
      <c r="L33" s="50">
        <f t="shared" si="35"/>
        <v>17.309999999999999</v>
      </c>
      <c r="M33" s="214">
        <f t="shared" si="36"/>
        <v>26.049999999999997</v>
      </c>
      <c r="N33" s="58">
        <f t="shared" si="37"/>
        <v>9.6314643116349888E-5</v>
      </c>
      <c r="O33" s="62"/>
      <c r="P33" s="22" t="str">
        <f t="shared" si="2"/>
        <v>02.04</v>
      </c>
      <c r="Q33" s="48"/>
      <c r="R33" s="48"/>
    </row>
    <row r="34" spans="1:18" s="113" customFormat="1" ht="13.5" thickBot="1">
      <c r="A34" s="224" t="s">
        <v>294</v>
      </c>
      <c r="B34" s="49"/>
      <c r="C34" s="49"/>
      <c r="D34" s="197" t="s">
        <v>169</v>
      </c>
      <c r="E34" s="49"/>
      <c r="F34" s="191"/>
      <c r="G34" s="52"/>
      <c r="H34" s="52"/>
      <c r="I34" s="52"/>
      <c r="J34" s="52"/>
      <c r="K34" s="50"/>
      <c r="L34" s="50"/>
      <c r="M34" s="214"/>
      <c r="N34" s="58"/>
      <c r="O34" s="62"/>
      <c r="P34" s="22"/>
      <c r="Q34" s="48"/>
      <c r="R34" s="48"/>
    </row>
    <row r="35" spans="1:18" s="113" customFormat="1" ht="13.5" thickBot="1">
      <c r="A35" s="224" t="s">
        <v>295</v>
      </c>
      <c r="B35" s="49" t="s">
        <v>58</v>
      </c>
      <c r="C35" s="49" t="s">
        <v>212</v>
      </c>
      <c r="D35" s="76" t="str">
        <f>VLOOKUP(C35,'Fonte Cotação'!B:E,2,0)</f>
        <v xml:space="preserve">V 1 -  Visor dim 1.00x1.20m, com Vidro 3+3, quadro em perfil "U" na cor branca. </v>
      </c>
      <c r="E35" s="49" t="s">
        <v>171</v>
      </c>
      <c r="F35" s="191">
        <f>IFERROR(VLOOKUP(C35,LEVANTAMENTO!$C$11:$K$104,Orçamento!$F$15,0),"0")</f>
        <v>3</v>
      </c>
      <c r="G35" s="52">
        <f>VLOOKUP(C35,'Fonte Cotação'!B:E,3,0)</f>
        <v>792</v>
      </c>
      <c r="H35" s="52">
        <f>VLOOKUP(C35,'Fonte Cotação'!B:E,4,0)</f>
        <v>79.2</v>
      </c>
      <c r="I35" s="50">
        <f t="shared" ref="I35:I36" si="38">ROUND(G35*(1+$G$3),2)</f>
        <v>989.75</v>
      </c>
      <c r="J35" s="50">
        <f t="shared" ref="J35:J36" si="39">ROUND(H35*(1+$G$3),2)</f>
        <v>98.98</v>
      </c>
      <c r="K35" s="50">
        <f t="shared" ref="K35:K36" si="40">ROUND(F35*I35,2)</f>
        <v>2969.25</v>
      </c>
      <c r="L35" s="50">
        <f t="shared" ref="L35:L36" si="41">ROUND(F35*J35,2)</f>
        <v>296.94</v>
      </c>
      <c r="M35" s="214">
        <f t="shared" ref="M35:M36" si="42">K35+L35</f>
        <v>3266.19</v>
      </c>
      <c r="N35" s="58">
        <f t="shared" ref="N35:N36" si="43">IF(M35&gt;=0,M35/$N$5,"")</f>
        <v>1.2076081543193506E-2</v>
      </c>
      <c r="O35" s="62"/>
      <c r="P35" s="22" t="str">
        <f t="shared" si="2"/>
        <v>02.05</v>
      </c>
      <c r="Q35" s="48"/>
      <c r="R35" s="48"/>
    </row>
    <row r="36" spans="1:18" s="113" customFormat="1" ht="13.5" thickBot="1">
      <c r="A36" s="224" t="s">
        <v>296</v>
      </c>
      <c r="B36" s="49" t="s">
        <v>58</v>
      </c>
      <c r="C36" s="49" t="s">
        <v>215</v>
      </c>
      <c r="D36" s="76" t="str">
        <f>VLOOKUP(C36,'Fonte Cotação'!B:E,2,0)</f>
        <v>Aplicação de película tipo espelho unidirecional</v>
      </c>
      <c r="E36" s="49" t="s">
        <v>71</v>
      </c>
      <c r="F36" s="191">
        <f>IFERROR(VLOOKUP(C36,LEVANTAMENTO!$C$11:$K$104,Orçamento!$F$15,0),"0")</f>
        <v>3.5999999999999996</v>
      </c>
      <c r="G36" s="52">
        <f>VLOOKUP(C36,'Fonte Cotação'!B:E,3,0)</f>
        <v>120</v>
      </c>
      <c r="H36" s="52">
        <f>VLOOKUP(C36,'Fonte Cotação'!B:E,4,0)</f>
        <v>12</v>
      </c>
      <c r="I36" s="50">
        <f t="shared" si="38"/>
        <v>149.96</v>
      </c>
      <c r="J36" s="50">
        <f t="shared" si="39"/>
        <v>15</v>
      </c>
      <c r="K36" s="50">
        <f t="shared" si="40"/>
        <v>539.86</v>
      </c>
      <c r="L36" s="50">
        <f t="shared" si="41"/>
        <v>54</v>
      </c>
      <c r="M36" s="214">
        <f t="shared" si="42"/>
        <v>593.86</v>
      </c>
      <c r="N36" s="58">
        <f t="shared" si="43"/>
        <v>2.1956780791199827E-3</v>
      </c>
      <c r="O36" s="62"/>
      <c r="P36" s="22" t="str">
        <f t="shared" si="2"/>
        <v>02.05</v>
      </c>
      <c r="Q36" s="48"/>
      <c r="R36" s="48"/>
    </row>
    <row r="37" spans="1:18" s="113" customFormat="1" ht="13.5" thickBot="1">
      <c r="A37" s="224" t="s">
        <v>297</v>
      </c>
      <c r="B37" s="49"/>
      <c r="C37" s="49"/>
      <c r="D37" s="197" t="s">
        <v>175</v>
      </c>
      <c r="E37" s="49"/>
      <c r="F37" s="191"/>
      <c r="G37" s="52"/>
      <c r="H37" s="52"/>
      <c r="I37" s="52"/>
      <c r="J37" s="52"/>
      <c r="K37" s="50"/>
      <c r="L37" s="50"/>
      <c r="M37" s="214"/>
      <c r="N37" s="58"/>
      <c r="O37" s="62"/>
      <c r="P37" s="22"/>
      <c r="Q37" s="48"/>
      <c r="R37" s="48"/>
    </row>
    <row r="38" spans="1:18" s="113" customFormat="1" ht="59.25" customHeight="1" thickBot="1">
      <c r="A38" s="224" t="s">
        <v>298</v>
      </c>
      <c r="B38" s="49" t="s">
        <v>58</v>
      </c>
      <c r="C38" s="49" t="s">
        <v>216</v>
      </c>
      <c r="D38" s="76" t="str">
        <f>VLOOKUP(C38,'Fonte Cotação'!B:E,2,0)</f>
        <v>PM - 1 - 0,80x2,10m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  <c r="E38" s="49" t="s">
        <v>171</v>
      </c>
      <c r="F38" s="191">
        <f>IFERROR(VLOOKUP(C38,LEVANTAMENTO!$C$11:$K$104,Orçamento!$F$15,0),"0")</f>
        <v>5</v>
      </c>
      <c r="G38" s="52">
        <f>VLOOKUP(C38,'Fonte Cotação'!B:E,3,0)</f>
        <v>1693</v>
      </c>
      <c r="H38" s="52">
        <f>VLOOKUP(C38,'Fonte Cotação'!B:E,4,0)</f>
        <v>744</v>
      </c>
      <c r="I38" s="50">
        <f t="shared" ref="I38" si="44">ROUND(G38*(1+$G$3),2)</f>
        <v>2115.7199999999998</v>
      </c>
      <c r="J38" s="50">
        <f t="shared" ref="J38" si="45">ROUND(H38*(1+$G$3),2)</f>
        <v>929.77</v>
      </c>
      <c r="K38" s="50">
        <f t="shared" ref="K38" si="46">ROUND(F38*I38,2)</f>
        <v>10578.6</v>
      </c>
      <c r="L38" s="50">
        <f t="shared" ref="L38" si="47">ROUND(F38*J38,2)</f>
        <v>4648.8500000000004</v>
      </c>
      <c r="M38" s="214">
        <f t="shared" ref="M38" si="48">K38+L38</f>
        <v>15227.45</v>
      </c>
      <c r="N38" s="58">
        <f t="shared" ref="N38" si="49">IF(M38&gt;=0,M38/$N$5,"")</f>
        <v>5.630043809297744E-2</v>
      </c>
      <c r="O38" s="62" t="s">
        <v>398</v>
      </c>
      <c r="P38" s="22" t="str">
        <f t="shared" si="2"/>
        <v>02.06</v>
      </c>
      <c r="Q38" s="48"/>
      <c r="R38" s="48"/>
    </row>
    <row r="39" spans="1:18" s="113" customFormat="1" ht="13.5" thickBot="1">
      <c r="A39" s="224" t="s">
        <v>299</v>
      </c>
      <c r="B39" s="49"/>
      <c r="C39" s="49"/>
      <c r="D39" s="197" t="s">
        <v>180</v>
      </c>
      <c r="E39" s="49"/>
      <c r="F39" s="191"/>
      <c r="G39" s="52"/>
      <c r="H39" s="52"/>
      <c r="I39" s="52"/>
      <c r="J39" s="52"/>
      <c r="K39" s="50"/>
      <c r="L39" s="50"/>
      <c r="M39" s="214"/>
      <c r="N39" s="58"/>
      <c r="O39" s="62"/>
      <c r="P39" s="22"/>
      <c r="Q39" s="48"/>
      <c r="R39" s="48"/>
    </row>
    <row r="40" spans="1:18" s="113" customFormat="1" ht="39" thickBot="1">
      <c r="A40" s="224" t="s">
        <v>300</v>
      </c>
      <c r="B40" s="49" t="s">
        <v>274</v>
      </c>
      <c r="C40" s="49" t="s">
        <v>181</v>
      </c>
      <c r="D40" s="76" t="str">
        <f>VLOOKUP(C40,'Fonte Cotação'!B:E,2,0)</f>
        <v>Revestimento Cerâmico Para Piso Com Placas Tipo Porcelanato De Dimensões 60X60 Cm Aplicada Em Ambientes De Área Menor Que 5 M². Retificado Esmaltado Acetinado Com Rejunte Cinza. Referência Portinari Loft A</v>
      </c>
      <c r="E40" s="49" t="s">
        <v>71</v>
      </c>
      <c r="F40" s="191">
        <f>IFERROR(VLOOKUP(C40,LEVANTAMENTO!$C$11:$K$104,Orçamento!$F$15,0),"0")</f>
        <v>0.54</v>
      </c>
      <c r="G40" s="52">
        <f>VLOOKUP(C40,'Fonte Cotação'!B:E,3,0)</f>
        <v>97.67</v>
      </c>
      <c r="H40" s="52">
        <f>VLOOKUP(C40,'Fonte Cotação'!B:E,4,0)</f>
        <v>123.78</v>
      </c>
      <c r="I40" s="50">
        <f t="shared" ref="I40" si="50">ROUND(G40*(1+$G$3),2)</f>
        <v>122.06</v>
      </c>
      <c r="J40" s="50">
        <f t="shared" ref="J40" si="51">ROUND(H40*(1+$G$3),2)</f>
        <v>154.69</v>
      </c>
      <c r="K40" s="50">
        <f t="shared" ref="K40" si="52">ROUND(F40*I40,2)</f>
        <v>65.91</v>
      </c>
      <c r="L40" s="50">
        <f t="shared" ref="L40" si="53">ROUND(F40*J40,2)</f>
        <v>83.53</v>
      </c>
      <c r="M40" s="214">
        <f t="shared" ref="M40" si="54">K40+L40</f>
        <v>149.44</v>
      </c>
      <c r="N40" s="58">
        <f t="shared" ref="N40" si="55">IF(M40&gt;=0,M40/$N$5,"")</f>
        <v>5.5252438646093388E-4</v>
      </c>
      <c r="O40" s="62" t="s">
        <v>399</v>
      </c>
      <c r="P40" s="22" t="str">
        <f t="shared" si="2"/>
        <v>02.07</v>
      </c>
      <c r="Q40" s="48"/>
      <c r="R40" s="48"/>
    </row>
    <row r="41" spans="1:18" s="113" customFormat="1" ht="13.5" thickBot="1">
      <c r="A41" s="224" t="s">
        <v>301</v>
      </c>
      <c r="B41" s="49"/>
      <c r="C41" s="49"/>
      <c r="D41" s="197" t="s">
        <v>182</v>
      </c>
      <c r="E41" s="49"/>
      <c r="F41" s="191"/>
      <c r="G41" s="52"/>
      <c r="H41" s="52"/>
      <c r="I41" s="52"/>
      <c r="J41" s="52"/>
      <c r="K41" s="50"/>
      <c r="L41" s="50"/>
      <c r="M41" s="214"/>
      <c r="N41" s="58"/>
      <c r="O41" s="62"/>
      <c r="P41" s="22"/>
      <c r="Q41" s="48"/>
      <c r="R41" s="48"/>
    </row>
    <row r="42" spans="1:18" s="109" customFormat="1" ht="13.5" thickBot="1">
      <c r="A42" s="224" t="s">
        <v>302</v>
      </c>
      <c r="B42" s="49" t="s">
        <v>58</v>
      </c>
      <c r="C42" s="49" t="s">
        <v>222</v>
      </c>
      <c r="D42" s="76" t="str">
        <f>VLOOKUP(C42,'Fonte Cotação'!B:E,2,0)</f>
        <v>Rodapé em WPC, cor branca, h=7cm e=1,5cm. Ref: Ecovale ou similar</v>
      </c>
      <c r="E42" s="49" t="s">
        <v>75</v>
      </c>
      <c r="F42" s="191">
        <f>IFERROR(VLOOKUP(C42,LEVANTAMENTO!$C$11:$K$104,Orçamento!$F$15,0),"0")</f>
        <v>43.5</v>
      </c>
      <c r="G42" s="52">
        <f>VLOOKUP(C42,'Fonte Cotação'!B:E,3,0)</f>
        <v>3.6</v>
      </c>
      <c r="H42" s="52">
        <f>VLOOKUP(C42,'Fonte Cotação'!B:E,4,0)</f>
        <v>1</v>
      </c>
      <c r="I42" s="50">
        <f t="shared" ref="I42" si="56">ROUND(G42*(1+$G$3),2)</f>
        <v>4.5</v>
      </c>
      <c r="J42" s="50">
        <f t="shared" ref="J42" si="57">ROUND(H42*(1+$G$3),2)</f>
        <v>1.25</v>
      </c>
      <c r="K42" s="50">
        <f t="shared" ref="K42" si="58">ROUND(F42*I42,2)</f>
        <v>195.75</v>
      </c>
      <c r="L42" s="50">
        <f t="shared" ref="L42" si="59">ROUND(F42*J42,2)</f>
        <v>54.38</v>
      </c>
      <c r="M42" s="214">
        <f t="shared" ref="M42" si="60">K42+L42</f>
        <v>250.13</v>
      </c>
      <c r="N42" s="58">
        <f t="shared" ref="N42" si="61">IF(M42&gt;=0,M42/$N$5,"")</f>
        <v>9.2480543887495581E-4</v>
      </c>
      <c r="O42" s="62"/>
      <c r="P42" s="22" t="str">
        <f t="shared" si="2"/>
        <v>02.08</v>
      </c>
      <c r="Q42" s="48"/>
      <c r="R42" s="48"/>
    </row>
    <row r="43" spans="1:18" s="113" customFormat="1" ht="13.5" thickBot="1">
      <c r="A43" s="224" t="s">
        <v>303</v>
      </c>
      <c r="B43" s="49"/>
      <c r="C43" s="49"/>
      <c r="D43" s="197" t="s">
        <v>185</v>
      </c>
      <c r="E43" s="49"/>
      <c r="F43" s="191"/>
      <c r="G43" s="52"/>
      <c r="H43" s="52"/>
      <c r="I43" s="52"/>
      <c r="J43" s="52"/>
      <c r="K43" s="50"/>
      <c r="L43" s="50"/>
      <c r="M43" s="214"/>
      <c r="N43" s="58"/>
      <c r="O43" s="62"/>
      <c r="P43" s="22"/>
      <c r="Q43" s="48"/>
      <c r="R43" s="48"/>
    </row>
    <row r="44" spans="1:18" s="113" customFormat="1" ht="26.25" thickBot="1">
      <c r="A44" s="224" t="s">
        <v>304</v>
      </c>
      <c r="B44" s="49" t="s">
        <v>58</v>
      </c>
      <c r="C44" s="49" t="s">
        <v>223</v>
      </c>
      <c r="D44" s="76" t="str">
        <f>VLOOKUP(C44,'Fonte Cotação'!B:E,2,0)</f>
        <v>Lavatório de louça, na cor gelo, dim 44,5x35,5x15cm, sem coluna, ref: DECA Aspem - Cod L.510.17 ou equivalente</v>
      </c>
      <c r="E44" s="49" t="s">
        <v>171</v>
      </c>
      <c r="F44" s="191">
        <f>IFERROR(VLOOKUP(C44,LEVANTAMENTO!$C$11:$K$104,Orçamento!$F$15,0),"0")</f>
        <v>3</v>
      </c>
      <c r="G44" s="52">
        <f>VLOOKUP(C44,'Fonte Cotação'!B:E,3,0)</f>
        <v>280</v>
      </c>
      <c r="H44" s="52">
        <f>VLOOKUP(C44,'Fonte Cotação'!B:E,4,0)</f>
        <v>50</v>
      </c>
      <c r="I44" s="50">
        <f t="shared" ref="I44:I45" si="62">ROUND(G44*(1+$G$3),2)</f>
        <v>349.91</v>
      </c>
      <c r="J44" s="50">
        <f t="shared" ref="J44:J45" si="63">ROUND(H44*(1+$G$3),2)</f>
        <v>62.48</v>
      </c>
      <c r="K44" s="50">
        <f t="shared" ref="K44:K45" si="64">ROUND(F44*I44,2)</f>
        <v>1049.73</v>
      </c>
      <c r="L44" s="50">
        <f t="shared" ref="L44:L45" si="65">ROUND(F44*J44,2)</f>
        <v>187.44</v>
      </c>
      <c r="M44" s="214">
        <f t="shared" ref="M44:M45" si="66">K44+L44</f>
        <v>1237.17</v>
      </c>
      <c r="N44" s="58">
        <f t="shared" ref="N44:N45" si="67">IF(M44&gt;=0,M44/$N$5,"")</f>
        <v>4.5741876016988335E-3</v>
      </c>
      <c r="O44" s="62"/>
      <c r="P44" s="22" t="str">
        <f t="shared" si="2"/>
        <v>02.09</v>
      </c>
      <c r="Q44" s="48"/>
      <c r="R44" s="48"/>
    </row>
    <row r="45" spans="1:18" s="113" customFormat="1" ht="26.25" thickBot="1">
      <c r="A45" s="224" t="s">
        <v>305</v>
      </c>
      <c r="B45" s="49" t="s">
        <v>58</v>
      </c>
      <c r="C45" s="49" t="s">
        <v>224</v>
      </c>
      <c r="D45" s="76" t="str">
        <f>VLOOKUP(C45,'Fonte Cotação'!B:E,2,0)</f>
        <v>Torneira Automática para Pia de Banheiro Bica Baixa Cromada Ref: Decamatic Eco Deca</v>
      </c>
      <c r="E45" s="49" t="s">
        <v>171</v>
      </c>
      <c r="F45" s="191">
        <f>IFERROR(VLOOKUP(C45,LEVANTAMENTO!$C$11:$K$104,Orçamento!$F$15,0),"0")</f>
        <v>3</v>
      </c>
      <c r="G45" s="52">
        <f>VLOOKUP(C45,'Fonte Cotação'!B:E,3,0)</f>
        <v>460</v>
      </c>
      <c r="H45" s="52">
        <f>VLOOKUP(C45,'Fonte Cotação'!B:E,4,0)</f>
        <v>50</v>
      </c>
      <c r="I45" s="50">
        <f t="shared" si="62"/>
        <v>574.86</v>
      </c>
      <c r="J45" s="50">
        <f t="shared" si="63"/>
        <v>62.48</v>
      </c>
      <c r="K45" s="50">
        <f t="shared" si="64"/>
        <v>1724.58</v>
      </c>
      <c r="L45" s="50">
        <f t="shared" si="65"/>
        <v>187.44</v>
      </c>
      <c r="M45" s="214">
        <f t="shared" si="66"/>
        <v>1912.02</v>
      </c>
      <c r="N45" s="58">
        <f t="shared" si="67"/>
        <v>7.0693099397820848E-3</v>
      </c>
      <c r="O45" s="62"/>
      <c r="P45" s="22" t="str">
        <f t="shared" si="2"/>
        <v>02.09</v>
      </c>
      <c r="Q45" s="48"/>
      <c r="R45" s="48"/>
    </row>
    <row r="46" spans="1:18" s="251" customFormat="1" ht="13.5" thickBot="1">
      <c r="A46" s="224" t="s">
        <v>575</v>
      </c>
      <c r="B46" s="49"/>
      <c r="C46" s="49"/>
      <c r="D46" s="197" t="s">
        <v>706</v>
      </c>
      <c r="E46" s="49"/>
      <c r="F46" s="191"/>
      <c r="G46" s="52"/>
      <c r="H46" s="52"/>
      <c r="I46" s="50"/>
      <c r="J46" s="50"/>
      <c r="K46" s="50"/>
      <c r="L46" s="50"/>
      <c r="M46" s="214"/>
      <c r="N46" s="58"/>
      <c r="O46" s="62"/>
      <c r="P46" s="22"/>
      <c r="Q46" s="48"/>
      <c r="R46" s="48"/>
    </row>
    <row r="47" spans="1:18" s="251" customFormat="1" ht="13.5" thickBot="1">
      <c r="A47" s="224" t="s">
        <v>577</v>
      </c>
      <c r="B47" s="49" t="s">
        <v>471</v>
      </c>
      <c r="C47" s="49">
        <v>6</v>
      </c>
      <c r="D47" s="76" t="s">
        <v>476</v>
      </c>
      <c r="E47" s="49" t="s">
        <v>44</v>
      </c>
      <c r="F47" s="191">
        <v>8</v>
      </c>
      <c r="G47" s="52">
        <f>'Composições elétrica'!I$54</f>
        <v>0</v>
      </c>
      <c r="H47" s="52">
        <f>'Composições elétrica'!J$54</f>
        <v>8.84</v>
      </c>
      <c r="I47" s="50">
        <f t="shared" ref="I47" si="68">ROUND(G47*(1+$G$3),2)</f>
        <v>0</v>
      </c>
      <c r="J47" s="50">
        <f t="shared" ref="J47" si="69">ROUND(H47*(1+$G$3),2)</f>
        <v>11.05</v>
      </c>
      <c r="K47" s="50">
        <f t="shared" ref="K47" si="70">ROUND(F47*I47,2)</f>
        <v>0</v>
      </c>
      <c r="L47" s="50">
        <f t="shared" ref="L47" si="71">ROUND(F47*J47,2)</f>
        <v>88.4</v>
      </c>
      <c r="M47" s="214">
        <f t="shared" ref="M47" si="72">K47+L47</f>
        <v>88.4</v>
      </c>
      <c r="N47" s="58">
        <f t="shared" ref="N47" si="73">IF(M47&gt;=0,M47/$N$5,"")</f>
        <v>3.2684124573840041E-4</v>
      </c>
      <c r="O47" s="62"/>
      <c r="P47" s="22"/>
      <c r="Q47" s="48"/>
      <c r="R47" s="48"/>
    </row>
    <row r="48" spans="1:18" s="251" customFormat="1" ht="13.5" thickBot="1">
      <c r="A48" s="224" t="s">
        <v>578</v>
      </c>
      <c r="B48" s="49" t="s">
        <v>471</v>
      </c>
      <c r="C48" s="49">
        <v>13</v>
      </c>
      <c r="D48" s="76" t="s">
        <v>576</v>
      </c>
      <c r="E48" s="49" t="s">
        <v>75</v>
      </c>
      <c r="F48" s="191">
        <v>100</v>
      </c>
      <c r="G48" s="52">
        <f>'Composições elétrica'!I$59</f>
        <v>2.7607999999999997</v>
      </c>
      <c r="H48" s="52">
        <f>'Composições elétrica'!J$59</f>
        <v>1.3516499999999998</v>
      </c>
      <c r="I48" s="50">
        <f t="shared" ref="I48:I62" si="74">ROUND(G48*(1+$G$3),2)</f>
        <v>3.45</v>
      </c>
      <c r="J48" s="50">
        <f t="shared" ref="J48:J62" si="75">ROUND(H48*(1+$G$3),2)</f>
        <v>1.69</v>
      </c>
      <c r="K48" s="50">
        <f t="shared" ref="K48:K62" si="76">ROUND(F48*I48,2)</f>
        <v>345</v>
      </c>
      <c r="L48" s="50">
        <f t="shared" ref="L48:L62" si="77">ROUND(F48*J48,2)</f>
        <v>169</v>
      </c>
      <c r="M48" s="214">
        <f t="shared" ref="M48:M62" si="78">K48+L48</f>
        <v>514</v>
      </c>
      <c r="N48" s="58">
        <f t="shared" ref="N48:N62" si="79">IF(M48&gt;=0,M48/$N$5,"")</f>
        <v>1.9004117682074413E-3</v>
      </c>
      <c r="O48" s="62"/>
      <c r="P48" s="22"/>
      <c r="Q48" s="48"/>
      <c r="R48" s="48"/>
    </row>
    <row r="49" spans="1:18" s="251" customFormat="1" ht="13.5" thickBot="1">
      <c r="A49" s="224" t="s">
        <v>579</v>
      </c>
      <c r="B49" s="49" t="s">
        <v>471</v>
      </c>
      <c r="C49" s="49">
        <v>14</v>
      </c>
      <c r="D49" s="76" t="s">
        <v>582</v>
      </c>
      <c r="E49" s="49" t="s">
        <v>75</v>
      </c>
      <c r="F49" s="191">
        <v>100</v>
      </c>
      <c r="G49" s="52">
        <f>'Composições elétrica'!I$66</f>
        <v>4.9504000000000001</v>
      </c>
      <c r="H49" s="52">
        <f>'Composições elétrica'!J$66</f>
        <v>1.79365</v>
      </c>
      <c r="I49" s="50">
        <f t="shared" si="74"/>
        <v>6.19</v>
      </c>
      <c r="J49" s="50">
        <f t="shared" si="75"/>
        <v>2.2400000000000002</v>
      </c>
      <c r="K49" s="50">
        <f t="shared" si="76"/>
        <v>619</v>
      </c>
      <c r="L49" s="50">
        <f t="shared" si="77"/>
        <v>224</v>
      </c>
      <c r="M49" s="214">
        <f t="shared" si="78"/>
        <v>843</v>
      </c>
      <c r="N49" s="58">
        <f t="shared" si="79"/>
        <v>3.1168231918266009E-3</v>
      </c>
      <c r="O49" s="62"/>
      <c r="P49" s="22"/>
      <c r="Q49" s="48"/>
      <c r="R49" s="48"/>
    </row>
    <row r="50" spans="1:18" s="251" customFormat="1" ht="26.25" thickBot="1">
      <c r="A50" s="224" t="s">
        <v>580</v>
      </c>
      <c r="B50" s="49" t="s">
        <v>471</v>
      </c>
      <c r="C50" s="49" t="s">
        <v>581</v>
      </c>
      <c r="D50" s="76" t="s">
        <v>586</v>
      </c>
      <c r="E50" s="49" t="s">
        <v>44</v>
      </c>
      <c r="F50" s="191">
        <v>8</v>
      </c>
      <c r="G50" s="52">
        <f>'Composições elétrica'!I$98</f>
        <v>46.59</v>
      </c>
      <c r="H50" s="52">
        <f>'Composições elétrica'!J$98</f>
        <v>24.296847999999997</v>
      </c>
      <c r="I50" s="50">
        <f t="shared" si="74"/>
        <v>58.22</v>
      </c>
      <c r="J50" s="50">
        <f t="shared" si="75"/>
        <v>30.36</v>
      </c>
      <c r="K50" s="50">
        <f t="shared" si="76"/>
        <v>465.76</v>
      </c>
      <c r="L50" s="50">
        <f t="shared" si="77"/>
        <v>242.88</v>
      </c>
      <c r="M50" s="214">
        <f t="shared" si="78"/>
        <v>708.64</v>
      </c>
      <c r="N50" s="58">
        <f t="shared" si="79"/>
        <v>2.6200540766975118E-3</v>
      </c>
      <c r="O50" s="62"/>
      <c r="P50" s="22"/>
      <c r="Q50" s="48"/>
      <c r="R50" s="48"/>
    </row>
    <row r="51" spans="1:18" s="251" customFormat="1" ht="26.25" thickBot="1">
      <c r="A51" s="224" t="s">
        <v>583</v>
      </c>
      <c r="B51" s="49" t="s">
        <v>471</v>
      </c>
      <c r="C51" s="49" t="s">
        <v>584</v>
      </c>
      <c r="D51" s="76" t="s">
        <v>588</v>
      </c>
      <c r="E51" s="49" t="s">
        <v>44</v>
      </c>
      <c r="F51" s="191">
        <v>3</v>
      </c>
      <c r="G51" s="52">
        <f>'Composições elétrica'!I$105</f>
        <v>65.25</v>
      </c>
      <c r="H51" s="52">
        <f>'Composições elétrica'!J$105</f>
        <v>7.6510200000000008</v>
      </c>
      <c r="I51" s="50">
        <f t="shared" si="74"/>
        <v>81.540000000000006</v>
      </c>
      <c r="J51" s="50">
        <f t="shared" si="75"/>
        <v>9.56</v>
      </c>
      <c r="K51" s="50">
        <f t="shared" si="76"/>
        <v>244.62</v>
      </c>
      <c r="L51" s="50">
        <f t="shared" si="77"/>
        <v>28.68</v>
      </c>
      <c r="M51" s="214">
        <f t="shared" si="78"/>
        <v>273.3</v>
      </c>
      <c r="N51" s="58">
        <f t="shared" si="79"/>
        <v>1.0104718604106882E-3</v>
      </c>
      <c r="O51" s="62"/>
      <c r="P51" s="22"/>
      <c r="Q51" s="48"/>
      <c r="R51" s="48"/>
    </row>
    <row r="52" spans="1:18" s="251" customFormat="1" ht="26.25" thickBot="1">
      <c r="A52" s="224" t="s">
        <v>590</v>
      </c>
      <c r="B52" s="49" t="s">
        <v>471</v>
      </c>
      <c r="C52" s="49">
        <v>34</v>
      </c>
      <c r="D52" s="76" t="s">
        <v>589</v>
      </c>
      <c r="E52" s="49" t="s">
        <v>44</v>
      </c>
      <c r="F52" s="191">
        <v>6</v>
      </c>
      <c r="G52" s="52">
        <f>'Composições elétrica'!I$119</f>
        <v>7.35</v>
      </c>
      <c r="H52" s="52">
        <f>'Composições elétrica'!J$119</f>
        <v>9.9450000000000003</v>
      </c>
      <c r="I52" s="50">
        <f t="shared" si="74"/>
        <v>9.19</v>
      </c>
      <c r="J52" s="50">
        <f t="shared" si="75"/>
        <v>12.43</v>
      </c>
      <c r="K52" s="50">
        <f t="shared" si="76"/>
        <v>55.14</v>
      </c>
      <c r="L52" s="50">
        <f t="shared" si="77"/>
        <v>74.58</v>
      </c>
      <c r="M52" s="214">
        <f t="shared" si="78"/>
        <v>129.72</v>
      </c>
      <c r="N52" s="58">
        <f t="shared" si="79"/>
        <v>4.7961364702698303E-4</v>
      </c>
      <c r="O52" s="62"/>
      <c r="P52" s="22"/>
      <c r="Q52" s="48"/>
      <c r="R52" s="48"/>
    </row>
    <row r="53" spans="1:18" s="251" customFormat="1" ht="26.25" thickBot="1">
      <c r="A53" s="224" t="s">
        <v>592</v>
      </c>
      <c r="B53" s="49" t="s">
        <v>471</v>
      </c>
      <c r="C53" s="49">
        <v>44</v>
      </c>
      <c r="D53" s="76" t="s">
        <v>593</v>
      </c>
      <c r="E53" s="49" t="s">
        <v>44</v>
      </c>
      <c r="F53" s="191">
        <v>36</v>
      </c>
      <c r="G53" s="52">
        <f>'Composições elétrica'!I$143</f>
        <v>12.82</v>
      </c>
      <c r="H53" s="52">
        <f>'Composições elétrica'!J$143</f>
        <v>1.8998000000000002</v>
      </c>
      <c r="I53" s="50">
        <f t="shared" si="74"/>
        <v>16.02</v>
      </c>
      <c r="J53" s="50">
        <f t="shared" si="75"/>
        <v>2.37</v>
      </c>
      <c r="K53" s="50">
        <f t="shared" si="76"/>
        <v>576.72</v>
      </c>
      <c r="L53" s="50">
        <f t="shared" si="77"/>
        <v>85.32</v>
      </c>
      <c r="M53" s="214">
        <f t="shared" si="78"/>
        <v>662.04</v>
      </c>
      <c r="N53" s="58">
        <f t="shared" si="79"/>
        <v>2.4477599358444639E-3</v>
      </c>
      <c r="O53" s="62"/>
      <c r="P53" s="22"/>
      <c r="Q53" s="48"/>
      <c r="R53" s="48"/>
    </row>
    <row r="54" spans="1:18" s="251" customFormat="1" ht="26.25" thickBot="1">
      <c r="A54" s="224" t="s">
        <v>594</v>
      </c>
      <c r="B54" s="49" t="s">
        <v>471</v>
      </c>
      <c r="C54" s="49">
        <v>48</v>
      </c>
      <c r="D54" s="76" t="s">
        <v>614</v>
      </c>
      <c r="E54" s="49" t="s">
        <v>44</v>
      </c>
      <c r="F54" s="191">
        <v>9</v>
      </c>
      <c r="G54" s="52">
        <v>0</v>
      </c>
      <c r="H54" s="52">
        <f>'Composições elétrica'!J$160</f>
        <v>20.035210599999999</v>
      </c>
      <c r="I54" s="50">
        <f t="shared" si="74"/>
        <v>0</v>
      </c>
      <c r="J54" s="50">
        <f t="shared" si="75"/>
        <v>25.04</v>
      </c>
      <c r="K54" s="50">
        <f t="shared" si="76"/>
        <v>0</v>
      </c>
      <c r="L54" s="50">
        <f t="shared" si="77"/>
        <v>225.36</v>
      </c>
      <c r="M54" s="214">
        <f t="shared" si="78"/>
        <v>225.36</v>
      </c>
      <c r="N54" s="58">
        <f t="shared" si="79"/>
        <v>8.3322333868332489E-4</v>
      </c>
      <c r="O54" s="62"/>
      <c r="P54" s="22"/>
      <c r="Q54" s="48"/>
      <c r="R54" s="48"/>
    </row>
    <row r="55" spans="1:18" s="251" customFormat="1" ht="26.25" thickBot="1">
      <c r="A55" s="224" t="s">
        <v>603</v>
      </c>
      <c r="B55" s="49" t="s">
        <v>471</v>
      </c>
      <c r="C55" s="49">
        <v>77</v>
      </c>
      <c r="D55" s="76" t="s">
        <v>596</v>
      </c>
      <c r="E55" s="49" t="s">
        <v>75</v>
      </c>
      <c r="F55" s="191">
        <v>250</v>
      </c>
      <c r="G55" s="52">
        <f>'Composições elétrica'!I$173</f>
        <v>2.4569999999999999</v>
      </c>
      <c r="H55" s="52">
        <f>'Composições elétrica'!J$173</f>
        <v>1.1889799999999999</v>
      </c>
      <c r="I55" s="50">
        <f t="shared" si="74"/>
        <v>3.07</v>
      </c>
      <c r="J55" s="50">
        <f t="shared" si="75"/>
        <v>1.49</v>
      </c>
      <c r="K55" s="50">
        <f t="shared" si="76"/>
        <v>767.5</v>
      </c>
      <c r="L55" s="50">
        <f t="shared" si="77"/>
        <v>372.5</v>
      </c>
      <c r="M55" s="214">
        <f t="shared" si="78"/>
        <v>1140</v>
      </c>
      <c r="N55" s="58">
        <f t="shared" si="79"/>
        <v>4.2149210423277879E-3</v>
      </c>
      <c r="O55" s="62"/>
      <c r="P55" s="22"/>
      <c r="Q55" s="48"/>
      <c r="R55" s="48"/>
    </row>
    <row r="56" spans="1:18" s="251" customFormat="1" ht="26.25" thickBot="1">
      <c r="A56" s="224" t="s">
        <v>604</v>
      </c>
      <c r="B56" s="49" t="s">
        <v>471</v>
      </c>
      <c r="C56" s="49">
        <v>96</v>
      </c>
      <c r="D56" s="76" t="s">
        <v>615</v>
      </c>
      <c r="E56" s="49" t="s">
        <v>75</v>
      </c>
      <c r="F56" s="191">
        <v>10</v>
      </c>
      <c r="G56" s="52">
        <f>'Composições elétrica'!I$206</f>
        <v>23.69</v>
      </c>
      <c r="H56" s="52">
        <f>'Composições elétrica'!J$206</f>
        <v>17.002049799999998</v>
      </c>
      <c r="I56" s="50">
        <f t="shared" si="74"/>
        <v>29.61</v>
      </c>
      <c r="J56" s="50">
        <f t="shared" si="75"/>
        <v>21.25</v>
      </c>
      <c r="K56" s="50">
        <f t="shared" si="76"/>
        <v>296.10000000000002</v>
      </c>
      <c r="L56" s="50">
        <f t="shared" si="77"/>
        <v>212.5</v>
      </c>
      <c r="M56" s="214">
        <f t="shared" si="78"/>
        <v>508.6</v>
      </c>
      <c r="N56" s="58">
        <f t="shared" si="79"/>
        <v>1.8804463527437834E-3</v>
      </c>
      <c r="O56" s="62"/>
      <c r="P56" s="22"/>
      <c r="Q56" s="48"/>
      <c r="R56" s="48"/>
    </row>
    <row r="57" spans="1:18" s="251" customFormat="1" ht="26.25" thickBot="1">
      <c r="A57" s="224" t="s">
        <v>605</v>
      </c>
      <c r="B57" s="49" t="s">
        <v>471</v>
      </c>
      <c r="C57" s="49">
        <v>97</v>
      </c>
      <c r="D57" s="76" t="s">
        <v>597</v>
      </c>
      <c r="E57" s="49" t="s">
        <v>44</v>
      </c>
      <c r="F57" s="191">
        <v>2</v>
      </c>
      <c r="G57" s="52">
        <f>'Composições elétrica'!I$217</f>
        <v>24.1035</v>
      </c>
      <c r="H57" s="52">
        <f>'Composições elétrica'!J$217</f>
        <v>16.598400000000002</v>
      </c>
      <c r="I57" s="50">
        <f t="shared" si="74"/>
        <v>30.12</v>
      </c>
      <c r="J57" s="50">
        <f t="shared" si="75"/>
        <v>20.74</v>
      </c>
      <c r="K57" s="50">
        <f t="shared" si="76"/>
        <v>60.24</v>
      </c>
      <c r="L57" s="50">
        <f t="shared" si="77"/>
        <v>41.48</v>
      </c>
      <c r="M57" s="214">
        <f t="shared" si="78"/>
        <v>101.72</v>
      </c>
      <c r="N57" s="58">
        <f t="shared" si="79"/>
        <v>3.7608927054875665E-4</v>
      </c>
      <c r="O57" s="62"/>
      <c r="P57" s="22"/>
      <c r="Q57" s="48"/>
      <c r="R57" s="48"/>
    </row>
    <row r="58" spans="1:18" s="251" customFormat="1" ht="39" thickBot="1">
      <c r="A58" s="224" t="s">
        <v>606</v>
      </c>
      <c r="B58" s="49" t="s">
        <v>471</v>
      </c>
      <c r="C58" s="49">
        <v>100</v>
      </c>
      <c r="D58" s="76" t="s">
        <v>598</v>
      </c>
      <c r="E58" s="49" t="s">
        <v>75</v>
      </c>
      <c r="F58" s="191">
        <v>10</v>
      </c>
      <c r="G58" s="52">
        <f>'Composições elétrica'!I$225</f>
        <v>2.3594399999999998</v>
      </c>
      <c r="H58" s="52">
        <f>'Composições elétrica'!J$225</f>
        <v>6.3647999999999989</v>
      </c>
      <c r="I58" s="50">
        <f t="shared" si="74"/>
        <v>2.95</v>
      </c>
      <c r="J58" s="50">
        <f t="shared" si="75"/>
        <v>7.95</v>
      </c>
      <c r="K58" s="50">
        <f t="shared" si="76"/>
        <v>29.5</v>
      </c>
      <c r="L58" s="50">
        <f t="shared" si="77"/>
        <v>79.5</v>
      </c>
      <c r="M58" s="214">
        <f t="shared" si="78"/>
        <v>109</v>
      </c>
      <c r="N58" s="58">
        <f t="shared" si="79"/>
        <v>4.0300560843309553E-4</v>
      </c>
      <c r="O58" s="62"/>
      <c r="P58" s="22"/>
      <c r="Q58" s="48"/>
      <c r="R58" s="48"/>
    </row>
    <row r="59" spans="1:18" s="251" customFormat="1" ht="39" thickBot="1">
      <c r="A59" s="224" t="s">
        <v>607</v>
      </c>
      <c r="B59" s="49" t="s">
        <v>471</v>
      </c>
      <c r="C59" s="49">
        <v>108</v>
      </c>
      <c r="D59" s="76" t="s">
        <v>599</v>
      </c>
      <c r="E59" s="49" t="s">
        <v>75</v>
      </c>
      <c r="F59" s="191">
        <v>30</v>
      </c>
      <c r="G59" s="52">
        <f>'Composições elétrica'!I$258</f>
        <v>101.74066666666668</v>
      </c>
      <c r="H59" s="52">
        <f>'Composições elétrica'!J$258</f>
        <v>11.492000000000001</v>
      </c>
      <c r="I59" s="50">
        <f t="shared" si="74"/>
        <v>127.14</v>
      </c>
      <c r="J59" s="50">
        <f t="shared" si="75"/>
        <v>14.36</v>
      </c>
      <c r="K59" s="50">
        <f t="shared" si="76"/>
        <v>3814.2</v>
      </c>
      <c r="L59" s="50">
        <f t="shared" si="77"/>
        <v>430.8</v>
      </c>
      <c r="M59" s="214">
        <f t="shared" si="78"/>
        <v>4245</v>
      </c>
      <c r="N59" s="58">
        <f t="shared" si="79"/>
        <v>1.5695034933931106E-2</v>
      </c>
      <c r="O59" s="62"/>
      <c r="P59" s="22"/>
      <c r="Q59" s="48"/>
      <c r="R59" s="48"/>
    </row>
    <row r="60" spans="1:18" s="251" customFormat="1" ht="26.25" thickBot="1">
      <c r="A60" s="224" t="s">
        <v>608</v>
      </c>
      <c r="B60" s="49" t="s">
        <v>471</v>
      </c>
      <c r="C60" s="49">
        <v>109</v>
      </c>
      <c r="D60" s="76" t="s">
        <v>600</v>
      </c>
      <c r="E60" s="49" t="s">
        <v>75</v>
      </c>
      <c r="F60" s="191">
        <v>8</v>
      </c>
      <c r="G60" s="52">
        <f>'Composições elétrica'!I$267</f>
        <v>7.49</v>
      </c>
      <c r="H60" s="52">
        <f>'Composições elétrica'!J$267</f>
        <v>1.7679999999999998</v>
      </c>
      <c r="I60" s="50">
        <f t="shared" si="74"/>
        <v>9.36</v>
      </c>
      <c r="J60" s="50">
        <f t="shared" si="75"/>
        <v>2.21</v>
      </c>
      <c r="K60" s="50">
        <f t="shared" si="76"/>
        <v>74.88</v>
      </c>
      <c r="L60" s="50">
        <f t="shared" si="77"/>
        <v>17.68</v>
      </c>
      <c r="M60" s="214">
        <f t="shared" si="78"/>
        <v>92.56</v>
      </c>
      <c r="N60" s="58">
        <f t="shared" si="79"/>
        <v>3.4222201024373689E-4</v>
      </c>
      <c r="O60" s="62"/>
      <c r="P60" s="22"/>
      <c r="Q60" s="48"/>
      <c r="R60" s="48"/>
    </row>
    <row r="61" spans="1:18" s="251" customFormat="1" ht="39" thickBot="1">
      <c r="A61" s="224" t="s">
        <v>609</v>
      </c>
      <c r="B61" s="49" t="s">
        <v>471</v>
      </c>
      <c r="C61" s="49">
        <v>110</v>
      </c>
      <c r="D61" s="76" t="s">
        <v>601</v>
      </c>
      <c r="E61" s="49" t="s">
        <v>44</v>
      </c>
      <c r="F61" s="191">
        <v>4</v>
      </c>
      <c r="G61" s="52">
        <f>'Composições elétrica'!I$273</f>
        <v>62.985602831175093</v>
      </c>
      <c r="H61" s="52">
        <f>'Composições elétrica'!J$273</f>
        <v>5.7460000000000004</v>
      </c>
      <c r="I61" s="50">
        <f t="shared" si="74"/>
        <v>78.709999999999994</v>
      </c>
      <c r="J61" s="50">
        <f t="shared" si="75"/>
        <v>7.18</v>
      </c>
      <c r="K61" s="50">
        <f t="shared" si="76"/>
        <v>314.83999999999997</v>
      </c>
      <c r="L61" s="50">
        <f t="shared" si="77"/>
        <v>28.72</v>
      </c>
      <c r="M61" s="214">
        <f t="shared" si="78"/>
        <v>343.55999999999995</v>
      </c>
      <c r="N61" s="58">
        <f t="shared" si="79"/>
        <v>1.2702440993878374E-3</v>
      </c>
      <c r="O61" s="62"/>
      <c r="P61" s="22"/>
      <c r="Q61" s="48"/>
      <c r="R61" s="48"/>
    </row>
    <row r="62" spans="1:18" s="251" customFormat="1" ht="26.25" thickBot="1">
      <c r="A62" s="224" t="s">
        <v>610</v>
      </c>
      <c r="B62" s="49" t="s">
        <v>471</v>
      </c>
      <c r="C62" s="49">
        <v>113</v>
      </c>
      <c r="D62" s="76" t="s">
        <v>602</v>
      </c>
      <c r="E62" s="49" t="s">
        <v>44</v>
      </c>
      <c r="F62" s="191">
        <v>4</v>
      </c>
      <c r="G62" s="52">
        <f>'Composições elétrica'!I$291</f>
        <v>51.64</v>
      </c>
      <c r="H62" s="52">
        <f>'Composições elétrica'!J$291</f>
        <v>7.5140000000000011</v>
      </c>
      <c r="I62" s="50">
        <f t="shared" si="74"/>
        <v>64.53</v>
      </c>
      <c r="J62" s="50">
        <f t="shared" si="75"/>
        <v>9.39</v>
      </c>
      <c r="K62" s="50">
        <f t="shared" si="76"/>
        <v>258.12</v>
      </c>
      <c r="L62" s="50">
        <f t="shared" si="77"/>
        <v>37.56</v>
      </c>
      <c r="M62" s="214">
        <f t="shared" si="78"/>
        <v>295.68</v>
      </c>
      <c r="N62" s="58">
        <f t="shared" si="79"/>
        <v>1.0932174156100705E-3</v>
      </c>
      <c r="O62" s="62"/>
      <c r="P62" s="22"/>
      <c r="Q62" s="48"/>
      <c r="R62" s="48"/>
    </row>
    <row r="63" spans="1:18" s="113" customFormat="1" ht="13.5" thickBot="1">
      <c r="A63" s="224"/>
      <c r="B63" s="49"/>
      <c r="C63" s="49"/>
      <c r="D63" s="76"/>
      <c r="E63" s="49"/>
      <c r="F63" s="191"/>
      <c r="G63" s="52"/>
      <c r="H63" s="52"/>
      <c r="I63" s="52"/>
      <c r="J63" s="52"/>
      <c r="K63" s="50"/>
      <c r="L63" s="50"/>
      <c r="M63" s="214"/>
      <c r="N63" s="58"/>
      <c r="O63" s="62"/>
      <c r="P63" s="22"/>
      <c r="Q63" s="48"/>
      <c r="R63" s="48"/>
    </row>
    <row r="64" spans="1:18" s="113" customFormat="1" ht="15.75" customHeight="1" thickBot="1">
      <c r="A64" s="226" t="s">
        <v>306</v>
      </c>
      <c r="B64" s="112" t="s">
        <v>204</v>
      </c>
      <c r="C64" s="95"/>
      <c r="D64" s="96"/>
      <c r="E64" s="95"/>
      <c r="F64" s="193">
        <v>5</v>
      </c>
      <c r="G64" s="98"/>
      <c r="H64" s="98"/>
      <c r="I64" s="97"/>
      <c r="J64" s="97"/>
      <c r="K64" s="97"/>
      <c r="L64" s="97"/>
      <c r="M64" s="216">
        <f>SUBTOTAL(9,M66:M134)</f>
        <v>90724.69</v>
      </c>
      <c r="N64" s="93">
        <f>SUBTOTAL(9,N66:N134)</f>
        <v>0.33543632012251356</v>
      </c>
      <c r="O64" s="62"/>
      <c r="P64" s="22"/>
      <c r="Q64" s="48"/>
      <c r="R64" s="48"/>
    </row>
    <row r="65" spans="1:18" s="113" customFormat="1" ht="13.5" thickBot="1">
      <c r="A65" s="224" t="s">
        <v>307</v>
      </c>
      <c r="B65" s="49"/>
      <c r="C65" s="49"/>
      <c r="D65" s="197" t="s">
        <v>99</v>
      </c>
      <c r="E65" s="49"/>
      <c r="F65" s="191"/>
      <c r="G65" s="52"/>
      <c r="H65" s="52"/>
      <c r="I65" s="52"/>
      <c r="J65" s="52"/>
      <c r="K65" s="50"/>
      <c r="L65" s="50"/>
      <c r="M65" s="214"/>
      <c r="N65" s="58"/>
      <c r="O65" s="62"/>
      <c r="P65" s="22"/>
      <c r="Q65" s="48"/>
      <c r="R65" s="48"/>
    </row>
    <row r="66" spans="1:18" s="113" customFormat="1" ht="26.25" thickBot="1">
      <c r="A66" s="224" t="s">
        <v>308</v>
      </c>
      <c r="B66" s="49" t="s">
        <v>30</v>
      </c>
      <c r="C66" s="49">
        <v>97638</v>
      </c>
      <c r="D66" s="76" t="str">
        <f>VLOOKUP(C66,'Fonte Cotação'!B:E,2,0)</f>
        <v>Remoção De Chapas E Perfis De Drywall, De Forma Manual, Sem Reaproveitamento. Af_12/2017</v>
      </c>
      <c r="E66" s="49" t="s">
        <v>71</v>
      </c>
      <c r="F66" s="191">
        <f>IFERROR(VLOOKUP(C66,LEVANTAMENTO!$C$11:$K$104,$F$64,0),"0")</f>
        <v>20.120999999999999</v>
      </c>
      <c r="G66" s="52">
        <f>VLOOKUP(C66,'Fonte Cotação'!B:E,3,0)</f>
        <v>1.6700000000000002</v>
      </c>
      <c r="H66" s="52">
        <f>VLOOKUP(C66,'Fonte Cotação'!B:E,4,0)</f>
        <v>4.51</v>
      </c>
      <c r="I66" s="50">
        <f t="shared" ref="I66:I68" si="80">ROUND(G66*(1+$G$3),2)</f>
        <v>2.09</v>
      </c>
      <c r="J66" s="50">
        <f t="shared" ref="J66:J68" si="81">ROUND(H66*(1+$G$3),2)</f>
        <v>5.64</v>
      </c>
      <c r="K66" s="50">
        <f t="shared" ref="K66:K68" si="82">ROUND(F66*I66,2)</f>
        <v>42.05</v>
      </c>
      <c r="L66" s="50">
        <f t="shared" ref="L66:L68" si="83">ROUND(F66*J66,2)</f>
        <v>113.48</v>
      </c>
      <c r="M66" s="214">
        <f t="shared" ref="M66:M68" si="84">K66+L66</f>
        <v>155.53</v>
      </c>
      <c r="N66" s="58">
        <f t="shared" ref="N66:N68" si="85">IF(M66&gt;=0,M66/$N$5,"")</f>
        <v>5.7504093834494815E-4</v>
      </c>
      <c r="O66" s="62"/>
      <c r="P66" s="22" t="str">
        <f t="shared" si="2"/>
        <v>03.01</v>
      </c>
      <c r="Q66" s="48"/>
      <c r="R66" s="48"/>
    </row>
    <row r="67" spans="1:18" s="113" customFormat="1" ht="26.25" thickBot="1">
      <c r="A67" s="224" t="s">
        <v>309</v>
      </c>
      <c r="B67" s="49" t="s">
        <v>30</v>
      </c>
      <c r="C67" s="49">
        <v>97637</v>
      </c>
      <c r="D67" s="76" t="str">
        <f>VLOOKUP(C67,'Fonte Cotação'!B:E,2,0)</f>
        <v>Remoção De Tapume/ Chapas Metálicas E De Madeira, De Forma Manual, Sem Reaproveitamento. Af_12/2017</v>
      </c>
      <c r="E67" s="49" t="s">
        <v>104</v>
      </c>
      <c r="F67" s="191">
        <f>IFERROR(VLOOKUP(C67,LEVANTAMENTO!$C$11:$K$104,$F$64,0),"0")</f>
        <v>8.9504999999999999</v>
      </c>
      <c r="G67" s="52">
        <f>VLOOKUP(C67,'Fonte Cotação'!B:E,3,0)</f>
        <v>11.45</v>
      </c>
      <c r="H67" s="52">
        <f>VLOOKUP(C67,'Fonte Cotação'!B:E,4,0)</f>
        <v>1.56</v>
      </c>
      <c r="I67" s="50">
        <f t="shared" si="80"/>
        <v>14.31</v>
      </c>
      <c r="J67" s="50">
        <f t="shared" si="81"/>
        <v>1.95</v>
      </c>
      <c r="K67" s="50">
        <f t="shared" si="82"/>
        <v>128.08000000000001</v>
      </c>
      <c r="L67" s="50">
        <f t="shared" si="83"/>
        <v>17.45</v>
      </c>
      <c r="M67" s="214">
        <f t="shared" si="84"/>
        <v>145.53</v>
      </c>
      <c r="N67" s="58">
        <f t="shared" si="85"/>
        <v>5.380679467455816E-4</v>
      </c>
      <c r="O67" s="62"/>
      <c r="P67" s="22" t="str">
        <f t="shared" si="2"/>
        <v>03.01</v>
      </c>
      <c r="Q67" s="48"/>
      <c r="R67" s="48"/>
    </row>
    <row r="68" spans="1:18" s="113" customFormat="1" ht="13.5" thickBot="1">
      <c r="A68" s="224" t="s">
        <v>310</v>
      </c>
      <c r="B68" s="49" t="s">
        <v>30</v>
      </c>
      <c r="C68" s="49">
        <v>97644</v>
      </c>
      <c r="D68" s="76" t="str">
        <f>VLOOKUP(C68,'Fonte Cotação'!B:E,2,0)</f>
        <v>Remoção De Portas, De Forma Manual, Sem Reaproveitamento. Af_12/2017</v>
      </c>
      <c r="E68" s="49" t="s">
        <v>104</v>
      </c>
      <c r="F68" s="191">
        <f>IFERROR(VLOOKUP(C68,LEVANTAMENTO!$C$11:$K$104,$F$64,0),"0")</f>
        <v>2.3100000000000005</v>
      </c>
      <c r="G68" s="52">
        <f>VLOOKUP(C68,'Fonte Cotação'!B:E,3,0)</f>
        <v>1.98</v>
      </c>
      <c r="H68" s="52">
        <f>VLOOKUP(C68,'Fonte Cotação'!B:E,4,0)</f>
        <v>5.01</v>
      </c>
      <c r="I68" s="50">
        <f t="shared" si="80"/>
        <v>2.4700000000000002</v>
      </c>
      <c r="J68" s="50">
        <f t="shared" si="81"/>
        <v>6.26</v>
      </c>
      <c r="K68" s="50">
        <f t="shared" si="82"/>
        <v>5.71</v>
      </c>
      <c r="L68" s="50">
        <f t="shared" si="83"/>
        <v>14.46</v>
      </c>
      <c r="M68" s="214">
        <f t="shared" si="84"/>
        <v>20.170000000000002</v>
      </c>
      <c r="N68" s="58">
        <f t="shared" si="85"/>
        <v>7.4574524055922363E-5</v>
      </c>
      <c r="O68" s="62"/>
      <c r="P68" s="22" t="str">
        <f t="shared" si="2"/>
        <v>03.01</v>
      </c>
      <c r="Q68" s="48"/>
      <c r="R68" s="48"/>
    </row>
    <row r="69" spans="1:18" s="113" customFormat="1" ht="13.5" thickBot="1">
      <c r="A69" s="224" t="s">
        <v>311</v>
      </c>
      <c r="B69" s="49"/>
      <c r="C69" s="49"/>
      <c r="D69" s="197" t="s">
        <v>110</v>
      </c>
      <c r="E69" s="49"/>
      <c r="F69" s="191"/>
      <c r="G69" s="52"/>
      <c r="H69" s="52"/>
      <c r="I69" s="52"/>
      <c r="J69" s="52"/>
      <c r="K69" s="50"/>
      <c r="L69" s="50"/>
      <c r="M69" s="214"/>
      <c r="N69" s="58"/>
      <c r="O69" s="62"/>
      <c r="P69" s="22"/>
      <c r="Q69" s="48"/>
      <c r="R69" s="48"/>
    </row>
    <row r="70" spans="1:18" s="113" customFormat="1" ht="26.25" thickBot="1">
      <c r="A70" s="224" t="s">
        <v>312</v>
      </c>
      <c r="B70" s="49" t="s">
        <v>30</v>
      </c>
      <c r="C70" s="49">
        <v>96358</v>
      </c>
      <c r="D70" s="76" t="str">
        <f>VLOOKUP(C70,'Fonte Cotação'!B:E,2,0)</f>
        <v>Parede Com Placas De Gesso Acartonado (Drywall), Para Uso Interno, Com Duas Faces Simples E Estrutura Metálica Com Guias Simples, Sem Vãos. Af_06/2017_P</v>
      </c>
      <c r="E70" s="49" t="s">
        <v>71</v>
      </c>
      <c r="F70" s="191">
        <f>IFERROR(VLOOKUP(C70,LEVANTAMENTO!$C$11:$K$104,$F$64,0),"0")</f>
        <v>17.010000000000002</v>
      </c>
      <c r="G70" s="52">
        <f>VLOOKUP(C70,'Fonte Cotação'!B:E,3,0)</f>
        <v>83.75</v>
      </c>
      <c r="H70" s="52">
        <f>VLOOKUP(C70,'Fonte Cotação'!B:E,4,0)</f>
        <v>9.59</v>
      </c>
      <c r="I70" s="50">
        <f t="shared" ref="I70:I74" si="86">ROUND(G70*(1+$G$3),2)</f>
        <v>104.66</v>
      </c>
      <c r="J70" s="50">
        <f t="shared" ref="J70:J74" si="87">ROUND(H70*(1+$G$3),2)</f>
        <v>11.98</v>
      </c>
      <c r="K70" s="50">
        <f t="shared" ref="K70:K74" si="88">ROUND(F70*I70,2)</f>
        <v>1780.27</v>
      </c>
      <c r="L70" s="50">
        <f t="shared" ref="L70:L74" si="89">ROUND(F70*J70,2)</f>
        <v>203.78</v>
      </c>
      <c r="M70" s="214">
        <f t="shared" ref="M70:M74" si="90">K70+L70</f>
        <v>1984.05</v>
      </c>
      <c r="N70" s="58">
        <f t="shared" ref="N70:N74" si="91">IF(M70&gt;=0,M70/$N$5,"")</f>
        <v>7.3356263982723227E-3</v>
      </c>
      <c r="O70" s="62"/>
      <c r="P70" s="22" t="str">
        <f t="shared" si="2"/>
        <v>03.02</v>
      </c>
      <c r="Q70" s="48"/>
      <c r="R70" s="48"/>
    </row>
    <row r="71" spans="1:18" s="113" customFormat="1" ht="26.25" thickBot="1">
      <c r="A71" s="224" t="s">
        <v>313</v>
      </c>
      <c r="B71" s="49" t="s">
        <v>30</v>
      </c>
      <c r="C71" s="49">
        <v>96359</v>
      </c>
      <c r="D71" s="76" t="str">
        <f>VLOOKUP(C71,'Fonte Cotação'!B:E,2,0)</f>
        <v>Parede Com Placas De Gesso Acartonado (Drywall), Para Uso Interno, Com Duas Faces Simples E Estrutura Metálica Com Guias Simples, Com Vãos Af_06/2017_P</v>
      </c>
      <c r="E71" s="49" t="s">
        <v>71</v>
      </c>
      <c r="F71" s="191">
        <f>IFERROR(VLOOKUP(C71,LEVANTAMENTO!$C$11:$K$104,$F$64,0),"0")</f>
        <v>15.759000000000002</v>
      </c>
      <c r="G71" s="52">
        <f>VLOOKUP(C71,'Fonte Cotação'!B:E,3,0)</f>
        <v>98.78</v>
      </c>
      <c r="H71" s="52">
        <f>VLOOKUP(C71,'Fonte Cotação'!B:E,4,0)</f>
        <v>11.05</v>
      </c>
      <c r="I71" s="50">
        <f t="shared" si="86"/>
        <v>123.44</v>
      </c>
      <c r="J71" s="50">
        <f t="shared" si="87"/>
        <v>13.81</v>
      </c>
      <c r="K71" s="50">
        <f t="shared" si="88"/>
        <v>1945.29</v>
      </c>
      <c r="L71" s="50">
        <f t="shared" si="89"/>
        <v>217.63</v>
      </c>
      <c r="M71" s="214">
        <f t="shared" si="90"/>
        <v>2162.92</v>
      </c>
      <c r="N71" s="58">
        <f t="shared" si="91"/>
        <v>7.9969622990101932E-3</v>
      </c>
      <c r="O71" s="62"/>
      <c r="P71" s="22" t="str">
        <f t="shared" si="2"/>
        <v>03.02</v>
      </c>
      <c r="Q71" s="48"/>
      <c r="R71" s="48"/>
    </row>
    <row r="72" spans="1:18" s="113" customFormat="1" ht="13.5" thickBot="1">
      <c r="A72" s="224" t="s">
        <v>314</v>
      </c>
      <c r="B72" s="49" t="s">
        <v>30</v>
      </c>
      <c r="C72" s="49">
        <v>96113</v>
      </c>
      <c r="D72" s="76" t="str">
        <f>VLOOKUP(C72,'Fonte Cotação'!B:E,2,0)</f>
        <v>Forro Em Placas De Gesso, Para Ambientes Comerciais. Af_05/2017_P</v>
      </c>
      <c r="E72" s="49" t="s">
        <v>71</v>
      </c>
      <c r="F72" s="191">
        <f>IFERROR(VLOOKUP(C72,LEVANTAMENTO!$C$11:$K$104,$F$64,0),"0")</f>
        <v>5</v>
      </c>
      <c r="G72" s="52">
        <f>VLOOKUP(C72,'Fonte Cotação'!B:E,3,0)</f>
        <v>18.939999999999998</v>
      </c>
      <c r="H72" s="52">
        <f>VLOOKUP(C72,'Fonte Cotação'!B:E,4,0)</f>
        <v>12.62</v>
      </c>
      <c r="I72" s="50">
        <f t="shared" si="86"/>
        <v>23.67</v>
      </c>
      <c r="J72" s="50">
        <f t="shared" si="87"/>
        <v>15.77</v>
      </c>
      <c r="K72" s="50">
        <f t="shared" si="88"/>
        <v>118.35</v>
      </c>
      <c r="L72" s="50">
        <f t="shared" si="89"/>
        <v>78.849999999999994</v>
      </c>
      <c r="M72" s="214">
        <f t="shared" si="90"/>
        <v>197.2</v>
      </c>
      <c r="N72" s="58">
        <f t="shared" si="91"/>
        <v>7.2910739433950853E-4</v>
      </c>
      <c r="O72" s="62"/>
      <c r="P72" s="22" t="str">
        <f t="shared" si="2"/>
        <v>03.02</v>
      </c>
      <c r="Q72" s="48"/>
      <c r="R72" s="48"/>
    </row>
    <row r="73" spans="1:18" s="113" customFormat="1" ht="13.5" thickBot="1">
      <c r="A73" s="224" t="s">
        <v>315</v>
      </c>
      <c r="B73" s="49" t="s">
        <v>30</v>
      </c>
      <c r="C73" s="49">
        <v>96374</v>
      </c>
      <c r="D73" s="76" t="str">
        <f>VLOOKUP(C73,'Fonte Cotação'!B:E,2,0)</f>
        <v>Instalação De Reforço De Madeira Em Parede Drywall. Af_06/2017</v>
      </c>
      <c r="E73" s="49" t="s">
        <v>75</v>
      </c>
      <c r="F73" s="191">
        <f>IFERROR(VLOOKUP(C73,LEVANTAMENTO!$C$11:$K$104,$F$64,0),"0")</f>
        <v>7.5</v>
      </c>
      <c r="G73" s="52">
        <f>VLOOKUP(C73,'Fonte Cotação'!B:E,3,0)</f>
        <v>16.8</v>
      </c>
      <c r="H73" s="52">
        <f>VLOOKUP(C73,'Fonte Cotação'!B:E,4,0)</f>
        <v>1.47</v>
      </c>
      <c r="I73" s="50">
        <f t="shared" si="86"/>
        <v>20.99</v>
      </c>
      <c r="J73" s="50">
        <f t="shared" si="87"/>
        <v>1.84</v>
      </c>
      <c r="K73" s="50">
        <f t="shared" si="88"/>
        <v>157.43</v>
      </c>
      <c r="L73" s="50">
        <f t="shared" si="89"/>
        <v>13.8</v>
      </c>
      <c r="M73" s="214">
        <f t="shared" si="90"/>
        <v>171.23000000000002</v>
      </c>
      <c r="N73" s="58">
        <f t="shared" si="91"/>
        <v>6.330885351559537E-4</v>
      </c>
      <c r="O73" s="62"/>
      <c r="P73" s="22" t="str">
        <f t="shared" si="2"/>
        <v>03.02</v>
      </c>
      <c r="Q73" s="48"/>
      <c r="R73" s="48"/>
    </row>
    <row r="74" spans="1:18" s="113" customFormat="1" ht="13.5" thickBot="1">
      <c r="A74" s="224" t="s">
        <v>316</v>
      </c>
      <c r="B74" s="49" t="s">
        <v>30</v>
      </c>
      <c r="C74" s="49" t="s">
        <v>127</v>
      </c>
      <c r="D74" s="76" t="str">
        <f>VLOOKUP(C74,'Fonte Cotação'!B:E,2,0)</f>
        <v>Alcapao Em Ferro 60X60Cm, Incluso Ferragens</v>
      </c>
      <c r="E74" s="49" t="s">
        <v>44</v>
      </c>
      <c r="F74" s="191">
        <f>IFERROR(VLOOKUP(C74,LEVANTAMENTO!$C$11:$K$104,$F$64,0),"0")</f>
        <v>6</v>
      </c>
      <c r="G74" s="52">
        <f>VLOOKUP(C74,'Fonte Cotação'!B:E,3,0)</f>
        <v>107.78</v>
      </c>
      <c r="H74" s="52">
        <f>VLOOKUP(C74,'Fonte Cotação'!B:E,4,0)</f>
        <v>16.77</v>
      </c>
      <c r="I74" s="50">
        <f t="shared" si="86"/>
        <v>134.69</v>
      </c>
      <c r="J74" s="50">
        <f t="shared" si="87"/>
        <v>20.96</v>
      </c>
      <c r="K74" s="50">
        <f t="shared" si="88"/>
        <v>808.14</v>
      </c>
      <c r="L74" s="50">
        <f t="shared" si="89"/>
        <v>125.76</v>
      </c>
      <c r="M74" s="214">
        <f t="shared" si="90"/>
        <v>933.9</v>
      </c>
      <c r="N74" s="58">
        <f t="shared" si="91"/>
        <v>3.4529076854648432E-3</v>
      </c>
      <c r="O74" s="62"/>
      <c r="P74" s="22" t="str">
        <f t="shared" si="2"/>
        <v>03.02</v>
      </c>
      <c r="Q74" s="48"/>
      <c r="R74" s="48"/>
    </row>
    <row r="75" spans="1:18" s="113" customFormat="1" ht="13.5" thickBot="1">
      <c r="A75" s="224" t="s">
        <v>317</v>
      </c>
      <c r="B75" s="49"/>
      <c r="C75" s="49"/>
      <c r="D75" s="197" t="s">
        <v>134</v>
      </c>
      <c r="E75" s="49"/>
      <c r="F75" s="191"/>
      <c r="G75" s="52"/>
      <c r="H75" s="52"/>
      <c r="I75" s="52"/>
      <c r="J75" s="52"/>
      <c r="K75" s="50"/>
      <c r="L75" s="50"/>
      <c r="M75" s="214"/>
      <c r="N75" s="58"/>
      <c r="O75" s="62"/>
      <c r="P75" s="22"/>
      <c r="Q75" s="48"/>
      <c r="R75" s="48"/>
    </row>
    <row r="76" spans="1:18" s="113" customFormat="1" ht="13.5" thickBot="1">
      <c r="A76" s="224" t="s">
        <v>318</v>
      </c>
      <c r="B76" s="49" t="s">
        <v>30</v>
      </c>
      <c r="C76" s="49">
        <v>88496</v>
      </c>
      <c r="D76" s="76" t="str">
        <f>VLOOKUP(C76,'Fonte Cotação'!B:E,2,0)</f>
        <v>Aplicação E Lixamento De Massa Látex Em Teto, Duas Demãos. Af_06/2014</v>
      </c>
      <c r="E76" s="49" t="s">
        <v>71</v>
      </c>
      <c r="F76" s="191">
        <f>IFERROR(VLOOKUP(C76,LEVANTAMENTO!$C$11:$K$104,$F$64,0),"0")</f>
        <v>5</v>
      </c>
      <c r="G76" s="52">
        <f>VLOOKUP(C76,'Fonte Cotação'!B:E,3,0)</f>
        <v>10.01</v>
      </c>
      <c r="H76" s="52">
        <f>VLOOKUP(C76,'Fonte Cotação'!B:E,4,0)</f>
        <v>12.85</v>
      </c>
      <c r="I76" s="50">
        <f t="shared" ref="I76:I81" si="92">ROUND(G76*(1+$G$3),2)</f>
        <v>12.51</v>
      </c>
      <c r="J76" s="50">
        <f t="shared" ref="J76:J81" si="93">ROUND(H76*(1+$G$3),2)</f>
        <v>16.059999999999999</v>
      </c>
      <c r="K76" s="50">
        <f t="shared" ref="K76:K81" si="94">ROUND(F76*I76,2)</f>
        <v>62.55</v>
      </c>
      <c r="L76" s="50">
        <f t="shared" ref="L76:L81" si="95">ROUND(F76*J76,2)</f>
        <v>80.3</v>
      </c>
      <c r="M76" s="214">
        <f t="shared" ref="M76:M81" si="96">K76+L76</f>
        <v>142.85</v>
      </c>
      <c r="N76" s="58">
        <f t="shared" ref="N76:N81" si="97">IF(M76&gt;=0,M76/$N$5,"")</f>
        <v>5.2815918499695129E-4</v>
      </c>
      <c r="O76" s="62"/>
      <c r="P76" s="22" t="str">
        <f t="shared" si="2"/>
        <v>03.03</v>
      </c>
      <c r="Q76" s="48"/>
      <c r="R76" s="48"/>
    </row>
    <row r="77" spans="1:18" s="113" customFormat="1" ht="13.5" thickBot="1">
      <c r="A77" s="224" t="s">
        <v>319</v>
      </c>
      <c r="B77" s="49" t="s">
        <v>30</v>
      </c>
      <c r="C77" s="49">
        <v>88497</v>
      </c>
      <c r="D77" s="76" t="str">
        <f>VLOOKUP(C77,'Fonte Cotação'!B:E,2,0)</f>
        <v>Aplicação E Lixamento De Massa Látex Em Paredes, Duas Demãos. Af_06/2014</v>
      </c>
      <c r="E77" s="49" t="s">
        <v>71</v>
      </c>
      <c r="F77" s="191">
        <f>IFERROR(VLOOKUP(C77,LEVANTAMENTO!$C$11:$K$104,$F$64,0),"0")</f>
        <v>65.538000000000011</v>
      </c>
      <c r="G77" s="52">
        <f>VLOOKUP(C77,'Fonte Cotação'!B:E,3,0)</f>
        <v>7.0600000000000005</v>
      </c>
      <c r="H77" s="52">
        <f>VLOOKUP(C77,'Fonte Cotação'!B:E,4,0)</f>
        <v>5.95</v>
      </c>
      <c r="I77" s="50">
        <f t="shared" si="92"/>
        <v>8.82</v>
      </c>
      <c r="J77" s="50">
        <f t="shared" si="93"/>
        <v>7.44</v>
      </c>
      <c r="K77" s="50">
        <f t="shared" si="94"/>
        <v>578.04999999999995</v>
      </c>
      <c r="L77" s="50">
        <f t="shared" si="95"/>
        <v>487.6</v>
      </c>
      <c r="M77" s="214">
        <f t="shared" si="96"/>
        <v>1065.6500000000001</v>
      </c>
      <c r="N77" s="58">
        <f t="shared" si="97"/>
        <v>3.9400268497864982E-3</v>
      </c>
      <c r="O77" s="62"/>
      <c r="P77" s="22" t="str">
        <f t="shared" si="2"/>
        <v>03.03</v>
      </c>
      <c r="Q77" s="48"/>
      <c r="R77" s="48"/>
    </row>
    <row r="78" spans="1:18" s="113" customFormat="1" ht="13.5" thickBot="1">
      <c r="A78" s="224" t="s">
        <v>320</v>
      </c>
      <c r="B78" s="49" t="s">
        <v>30</v>
      </c>
      <c r="C78" s="49">
        <v>88484</v>
      </c>
      <c r="D78" s="76" t="str">
        <f>VLOOKUP(C78,'Fonte Cotação'!B:E,2,0)</f>
        <v>Aplicação De Fundo Selador Acrílico Em Teto, Uma Demão. Af_06/2014</v>
      </c>
      <c r="E78" s="49" t="s">
        <v>71</v>
      </c>
      <c r="F78" s="191">
        <f>IFERROR(VLOOKUP(C78,LEVANTAMENTO!$C$11:$K$104,$F$64,0),"0")</f>
        <v>5</v>
      </c>
      <c r="G78" s="52">
        <f>VLOOKUP(C78,'Fonte Cotação'!B:E,3,0)</f>
        <v>1.47</v>
      </c>
      <c r="H78" s="52">
        <f>VLOOKUP(C78,'Fonte Cotação'!B:E,4,0)</f>
        <v>0.98</v>
      </c>
      <c r="I78" s="50">
        <f t="shared" si="92"/>
        <v>1.84</v>
      </c>
      <c r="J78" s="50">
        <f t="shared" si="93"/>
        <v>1.22</v>
      </c>
      <c r="K78" s="50">
        <f t="shared" si="94"/>
        <v>9.1999999999999993</v>
      </c>
      <c r="L78" s="50">
        <f t="shared" si="95"/>
        <v>6.1</v>
      </c>
      <c r="M78" s="214">
        <f t="shared" si="96"/>
        <v>15.299999999999999</v>
      </c>
      <c r="N78" s="58">
        <f t="shared" si="97"/>
        <v>5.6568677147030835E-5</v>
      </c>
      <c r="O78" s="62"/>
      <c r="P78" s="22" t="str">
        <f t="shared" si="2"/>
        <v>03.03</v>
      </c>
      <c r="Q78" s="48"/>
      <c r="R78" s="48"/>
    </row>
    <row r="79" spans="1:18" s="113" customFormat="1" ht="13.5" thickBot="1">
      <c r="A79" s="224" t="s">
        <v>321</v>
      </c>
      <c r="B79" s="49" t="s">
        <v>30</v>
      </c>
      <c r="C79" s="49">
        <v>88485</v>
      </c>
      <c r="D79" s="76" t="str">
        <f>VLOOKUP(C79,'Fonte Cotação'!B:E,2,0)</f>
        <v>Aplicação De Fundo Selador Acrílico Em Paredes, Uma Demão. Af_06/2014</v>
      </c>
      <c r="E79" s="49" t="s">
        <v>71</v>
      </c>
      <c r="F79" s="191">
        <f>IFERROR(VLOOKUP(C79,LEVANTAMENTO!$C$11:$K$104,$F$64,0),"0")</f>
        <v>65.538000000000011</v>
      </c>
      <c r="G79" s="52">
        <f>VLOOKUP(C79,'Fonte Cotação'!B:E,3,0)</f>
        <v>1.37</v>
      </c>
      <c r="H79" s="52">
        <f>VLOOKUP(C79,'Fonte Cotação'!B:E,4,0)</f>
        <v>0.74</v>
      </c>
      <c r="I79" s="50">
        <f t="shared" si="92"/>
        <v>1.71</v>
      </c>
      <c r="J79" s="50">
        <f t="shared" si="93"/>
        <v>0.92</v>
      </c>
      <c r="K79" s="50">
        <f t="shared" si="94"/>
        <v>112.07</v>
      </c>
      <c r="L79" s="50">
        <f t="shared" si="95"/>
        <v>60.29</v>
      </c>
      <c r="M79" s="214">
        <f t="shared" si="96"/>
        <v>172.35999999999999</v>
      </c>
      <c r="N79" s="58">
        <f t="shared" si="97"/>
        <v>6.3726648320668196E-4</v>
      </c>
      <c r="O79" s="62"/>
      <c r="P79" s="22" t="str">
        <f t="shared" si="2"/>
        <v>03.03</v>
      </c>
      <c r="Q79" s="48"/>
      <c r="R79" s="48"/>
    </row>
    <row r="80" spans="1:18" s="113" customFormat="1" ht="26.25" thickBot="1">
      <c r="A80" s="224" t="s">
        <v>322</v>
      </c>
      <c r="B80" s="49" t="s">
        <v>30</v>
      </c>
      <c r="C80" s="49">
        <v>88488</v>
      </c>
      <c r="D80" s="76" t="str">
        <f>VLOOKUP(C80,'Fonte Cotação'!B:E,2,0)</f>
        <v>Aplicação Manual De Pintura Com Tinta Látex Acrílica Em Teto, Duas Demãos. Af_06/2014</v>
      </c>
      <c r="E80" s="49" t="s">
        <v>71</v>
      </c>
      <c r="F80" s="191">
        <f>IFERROR(VLOOKUP(C80,LEVANTAMENTO!$C$11:$K$104,$F$64,0),"0")</f>
        <v>5</v>
      </c>
      <c r="G80" s="52">
        <f>VLOOKUP(C80,'Fonte Cotação'!B:E,3,0)</f>
        <v>10.57</v>
      </c>
      <c r="H80" s="52">
        <f>VLOOKUP(C80,'Fonte Cotação'!B:E,4,0)</f>
        <v>4.6399999999999997</v>
      </c>
      <c r="I80" s="50">
        <f t="shared" si="92"/>
        <v>13.21</v>
      </c>
      <c r="J80" s="50">
        <f t="shared" si="93"/>
        <v>5.8</v>
      </c>
      <c r="K80" s="50">
        <f t="shared" si="94"/>
        <v>66.05</v>
      </c>
      <c r="L80" s="50">
        <f t="shared" si="95"/>
        <v>29</v>
      </c>
      <c r="M80" s="214">
        <f t="shared" si="96"/>
        <v>95.05</v>
      </c>
      <c r="N80" s="58">
        <f t="shared" si="97"/>
        <v>3.5142828515197916E-4</v>
      </c>
      <c r="O80" s="62"/>
      <c r="P80" s="22" t="str">
        <f t="shared" si="2"/>
        <v>03.03</v>
      </c>
      <c r="Q80" s="48"/>
      <c r="R80" s="48"/>
    </row>
    <row r="81" spans="1:18" s="113" customFormat="1" ht="26.25" thickBot="1">
      <c r="A81" s="224" t="s">
        <v>323</v>
      </c>
      <c r="B81" s="49" t="s">
        <v>30</v>
      </c>
      <c r="C81" s="49">
        <v>88489</v>
      </c>
      <c r="D81" s="76" t="str">
        <f>VLOOKUP(C81,'Fonte Cotação'!B:E,2,0)</f>
        <v>Aplicação Manual De Pintura Com Tinta Látex Acrílica Em Paredes, Duas Demãos. Af_06/2014</v>
      </c>
      <c r="E81" s="49" t="s">
        <v>71</v>
      </c>
      <c r="F81" s="191">
        <f>IFERROR(VLOOKUP(C81,LEVANTAMENTO!$C$11:$K$104,$F$64,0),"0")</f>
        <v>396.24660000000006</v>
      </c>
      <c r="G81" s="52">
        <f>VLOOKUP(C81,'Fonte Cotação'!B:E,3,0)</f>
        <v>10.09</v>
      </c>
      <c r="H81" s="52">
        <f>VLOOKUP(C81,'Fonte Cotação'!B:E,4,0)</f>
        <v>3.57</v>
      </c>
      <c r="I81" s="50">
        <f t="shared" si="92"/>
        <v>12.61</v>
      </c>
      <c r="J81" s="50">
        <f t="shared" si="93"/>
        <v>4.46</v>
      </c>
      <c r="K81" s="50">
        <f t="shared" si="94"/>
        <v>4996.67</v>
      </c>
      <c r="L81" s="50">
        <f t="shared" si="95"/>
        <v>1767.26</v>
      </c>
      <c r="M81" s="214">
        <f t="shared" si="96"/>
        <v>6763.93</v>
      </c>
      <c r="N81" s="58">
        <f t="shared" si="97"/>
        <v>2.5008272706870349E-2</v>
      </c>
      <c r="O81" s="62"/>
      <c r="P81" s="22" t="str">
        <f>LEFT(A81,5)</f>
        <v>03.03</v>
      </c>
      <c r="Q81" s="48"/>
      <c r="R81" s="48"/>
    </row>
    <row r="82" spans="1:18" s="113" customFormat="1" ht="13.5" thickBot="1">
      <c r="A82" s="224" t="s">
        <v>324</v>
      </c>
      <c r="B82" s="49"/>
      <c r="C82" s="49"/>
      <c r="D82" s="197" t="s">
        <v>162</v>
      </c>
      <c r="E82" s="49"/>
      <c r="F82" s="191"/>
      <c r="G82" s="52"/>
      <c r="H82" s="52"/>
      <c r="I82" s="52"/>
      <c r="J82" s="52"/>
      <c r="K82" s="50"/>
      <c r="L82" s="50"/>
      <c r="M82" s="214"/>
      <c r="N82" s="58"/>
      <c r="O82" s="62"/>
      <c r="P82" s="22"/>
      <c r="Q82" s="48"/>
      <c r="R82" s="48"/>
    </row>
    <row r="83" spans="1:18" s="113" customFormat="1" ht="13.5" thickBot="1">
      <c r="A83" s="224" t="s">
        <v>325</v>
      </c>
      <c r="B83" s="49" t="s">
        <v>30</v>
      </c>
      <c r="C83" s="49">
        <v>99803</v>
      </c>
      <c r="D83" s="76" t="str">
        <f>VLOOKUP(C83,'Fonte Cotação'!B:E,2,0)</f>
        <v>Limpeza De Piso Cerâmico Ou Porcelanato Com Vassoura A Seco. Af_04/2019</v>
      </c>
      <c r="E83" s="49" t="s">
        <v>71</v>
      </c>
      <c r="F83" s="191">
        <f>IFERROR(VLOOKUP(C83,LEVANTAMENTO!$C$11:$K$104,$F$64,0),"0")</f>
        <v>0</v>
      </c>
      <c r="G83" s="52">
        <f>VLOOKUP(C83,'Fonte Cotação'!B:E,3,0)</f>
        <v>0.49</v>
      </c>
      <c r="H83" s="52">
        <f>VLOOKUP(C83,'Fonte Cotação'!B:E,4,0)</f>
        <v>1.1499999999999999</v>
      </c>
      <c r="I83" s="50">
        <f t="shared" ref="I83:I84" si="98">ROUND(G83*(1+$G$3),2)</f>
        <v>0.61</v>
      </c>
      <c r="J83" s="50">
        <f t="shared" ref="J83:J84" si="99">ROUND(H83*(1+$G$3),2)</f>
        <v>1.44</v>
      </c>
      <c r="K83" s="50">
        <f t="shared" ref="K83:K84" si="100">ROUND(F83*I83,2)</f>
        <v>0</v>
      </c>
      <c r="L83" s="50">
        <f t="shared" ref="L83:L84" si="101">ROUND(F83*J83,2)</f>
        <v>0</v>
      </c>
      <c r="M83" s="214">
        <f t="shared" ref="M83:M84" si="102">K83+L83</f>
        <v>0</v>
      </c>
      <c r="N83" s="58">
        <f t="shared" ref="N83:N84" si="103">IF(M83&gt;=0,M83/$N$5,"")</f>
        <v>0</v>
      </c>
      <c r="O83" s="62"/>
      <c r="P83" s="22" t="str">
        <f>LEFT(A83,5)</f>
        <v>03.04</v>
      </c>
      <c r="Q83" s="48"/>
      <c r="R83" s="48"/>
    </row>
    <row r="84" spans="1:18" s="113" customFormat="1" ht="13.5" thickBot="1">
      <c r="A84" s="224" t="s">
        <v>326</v>
      </c>
      <c r="B84" s="49" t="s">
        <v>30</v>
      </c>
      <c r="C84" s="49">
        <v>88037</v>
      </c>
      <c r="D84" s="76" t="str">
        <f>VLOOKUP(C84,'Fonte Cotação'!B:E,2,0)</f>
        <v>Transporte Horizontal, Massa/Granel, Jerica 90L, 50M. Af_06/2014</v>
      </c>
      <c r="E84" s="49" t="s">
        <v>167</v>
      </c>
      <c r="F84" s="191">
        <f>IFERROR(VLOOKUP(C84,LEVANTAMENTO!$C$11:$K$104,$F$64,0),"0")</f>
        <v>2.12</v>
      </c>
      <c r="G84" s="52">
        <f>VLOOKUP(C84,'Fonte Cotação'!B:E,3,0)</f>
        <v>13.79</v>
      </c>
      <c r="H84" s="52">
        <f>VLOOKUP(C84,'Fonte Cotação'!B:E,4,0)</f>
        <v>27.32</v>
      </c>
      <c r="I84" s="50">
        <f t="shared" si="98"/>
        <v>17.23</v>
      </c>
      <c r="J84" s="50">
        <f t="shared" si="99"/>
        <v>34.14</v>
      </c>
      <c r="K84" s="50">
        <f t="shared" si="100"/>
        <v>36.53</v>
      </c>
      <c r="L84" s="50">
        <f t="shared" si="101"/>
        <v>72.38</v>
      </c>
      <c r="M84" s="214">
        <f t="shared" si="102"/>
        <v>108.91</v>
      </c>
      <c r="N84" s="58">
        <f t="shared" si="103"/>
        <v>4.0267285150870119E-4</v>
      </c>
      <c r="O84" s="62"/>
      <c r="P84" s="22" t="str">
        <f>LEFT(A84,5)</f>
        <v>03.04</v>
      </c>
      <c r="Q84" s="48"/>
      <c r="R84" s="48"/>
    </row>
    <row r="85" spans="1:18" s="113" customFormat="1" ht="13.5" thickBot="1">
      <c r="A85" s="224" t="s">
        <v>327</v>
      </c>
      <c r="B85" s="49"/>
      <c r="C85" s="49"/>
      <c r="D85" s="197" t="s">
        <v>169</v>
      </c>
      <c r="E85" s="49"/>
      <c r="F85" s="191"/>
      <c r="G85" s="52"/>
      <c r="H85" s="52"/>
      <c r="I85" s="52"/>
      <c r="J85" s="52"/>
      <c r="K85" s="50"/>
      <c r="L85" s="50"/>
      <c r="M85" s="214"/>
      <c r="N85" s="58"/>
      <c r="O85" s="62"/>
      <c r="P85" s="22"/>
      <c r="Q85" s="48"/>
      <c r="R85" s="48"/>
    </row>
    <row r="86" spans="1:18" s="113" customFormat="1" ht="13.5" thickBot="1">
      <c r="A86" s="224" t="s">
        <v>328</v>
      </c>
      <c r="B86" s="49" t="s">
        <v>58</v>
      </c>
      <c r="C86" s="49" t="s">
        <v>213</v>
      </c>
      <c r="D86" s="76" t="str">
        <f>VLOOKUP(C86,'Fonte Cotação'!B:E,2,0)</f>
        <v xml:space="preserve">V 1' -  Visor dim 2,20x1.20m, com Vidro 3+3, quadro em perfil "U" na cor branca. </v>
      </c>
      <c r="E86" s="49" t="s">
        <v>171</v>
      </c>
      <c r="F86" s="191">
        <f>IFERROR(VLOOKUP(C86,LEVANTAMENTO!$C$11:$K$104,$F$64,0),"0")</f>
        <v>1</v>
      </c>
      <c r="G86" s="52">
        <f>VLOOKUP(C86,'Fonte Cotação'!B:E,3,0)</f>
        <v>1480</v>
      </c>
      <c r="H86" s="52">
        <f>VLOOKUP(C86,'Fonte Cotação'!B:E,4,0)</f>
        <v>148</v>
      </c>
      <c r="I86" s="50">
        <f t="shared" ref="I86:I88" si="104">ROUND(G86*(1+$G$3),2)</f>
        <v>1849.54</v>
      </c>
      <c r="J86" s="50">
        <f t="shared" ref="J86:J88" si="105">ROUND(H86*(1+$G$3),2)</f>
        <v>184.95</v>
      </c>
      <c r="K86" s="50">
        <f t="shared" ref="K86:K88" si="106">ROUND(F86*I86,2)</f>
        <v>1849.54</v>
      </c>
      <c r="L86" s="50">
        <f t="shared" ref="L86:L88" si="107">ROUND(F86*J86,2)</f>
        <v>184.95</v>
      </c>
      <c r="M86" s="214">
        <f t="shared" ref="M86:M88" si="108">K86+L86</f>
        <v>2034.49</v>
      </c>
      <c r="N86" s="58">
        <f t="shared" ref="N86:N88" si="109">IF(M86&gt;=0,M86/$N$5,"")</f>
        <v>7.5221181678995271E-3</v>
      </c>
      <c r="O86" s="62"/>
      <c r="P86" s="22" t="str">
        <f>LEFT(A86,5)</f>
        <v>03.05</v>
      </c>
      <c r="Q86" s="48"/>
      <c r="R86" s="48"/>
    </row>
    <row r="87" spans="1:18" s="113" customFormat="1" ht="13.5" thickBot="1">
      <c r="A87" s="224" t="s">
        <v>329</v>
      </c>
      <c r="B87" s="49" t="s">
        <v>58</v>
      </c>
      <c r="C87" s="49" t="s">
        <v>214</v>
      </c>
      <c r="D87" s="76" t="str">
        <f>VLOOKUP(C87,'Fonte Cotação'!B:E,2,0)</f>
        <v xml:space="preserve">V 2 -  Visor dim 3,18x1,00m, com Vidro 3+3, quadro em perfil "U" na cor branca. </v>
      </c>
      <c r="E87" s="49" t="s">
        <v>171</v>
      </c>
      <c r="F87" s="191">
        <f>IFERROR(VLOOKUP(C87,LEVANTAMENTO!$C$11:$K$104,$F$64,0),"0")</f>
        <v>1</v>
      </c>
      <c r="G87" s="52">
        <f>VLOOKUP(C87,'Fonte Cotação'!B:E,3,0)</f>
        <v>1749</v>
      </c>
      <c r="H87" s="52">
        <f>VLOOKUP(C87,'Fonte Cotação'!B:E,4,0)</f>
        <v>174.9</v>
      </c>
      <c r="I87" s="50">
        <f t="shared" si="104"/>
        <v>2185.6999999999998</v>
      </c>
      <c r="J87" s="50">
        <f t="shared" si="105"/>
        <v>218.57</v>
      </c>
      <c r="K87" s="50">
        <f t="shared" si="106"/>
        <v>2185.6999999999998</v>
      </c>
      <c r="L87" s="50">
        <f t="shared" si="107"/>
        <v>218.57</v>
      </c>
      <c r="M87" s="214">
        <f t="shared" si="108"/>
        <v>2404.27</v>
      </c>
      <c r="N87" s="58">
        <f t="shared" si="109"/>
        <v>8.8893054512609038E-3</v>
      </c>
      <c r="O87" s="62"/>
      <c r="P87" s="22" t="str">
        <f>LEFT(A87,5)</f>
        <v>03.05</v>
      </c>
      <c r="Q87" s="48"/>
      <c r="R87" s="48"/>
    </row>
    <row r="88" spans="1:18" s="113" customFormat="1" ht="13.5" thickBot="1">
      <c r="A88" s="224" t="s">
        <v>330</v>
      </c>
      <c r="B88" s="49" t="s">
        <v>58</v>
      </c>
      <c r="C88" s="49" t="s">
        <v>215</v>
      </c>
      <c r="D88" s="76" t="str">
        <f>VLOOKUP(C88,'Fonte Cotação'!B:E,2,0)</f>
        <v>Aplicação de película tipo espelho unidirecional</v>
      </c>
      <c r="E88" s="49" t="s">
        <v>71</v>
      </c>
      <c r="F88" s="191">
        <f>IFERROR(VLOOKUP(C88,LEVANTAMENTO!$C$11:$K$104,$F$64,0),"0")</f>
        <v>14.919999999999998</v>
      </c>
      <c r="G88" s="52">
        <f>VLOOKUP(C88,'Fonte Cotação'!B:E,3,0)</f>
        <v>120</v>
      </c>
      <c r="H88" s="52">
        <f>VLOOKUP(C88,'Fonte Cotação'!B:E,4,0)</f>
        <v>12</v>
      </c>
      <c r="I88" s="50">
        <f t="shared" si="104"/>
        <v>149.96</v>
      </c>
      <c r="J88" s="50">
        <f t="shared" si="105"/>
        <v>15</v>
      </c>
      <c r="K88" s="50">
        <f t="shared" si="106"/>
        <v>2237.4</v>
      </c>
      <c r="L88" s="50">
        <f t="shared" si="107"/>
        <v>223.8</v>
      </c>
      <c r="M88" s="214">
        <f t="shared" si="108"/>
        <v>2461.2000000000003</v>
      </c>
      <c r="N88" s="58">
        <f t="shared" si="109"/>
        <v>9.0997926924360987E-3</v>
      </c>
      <c r="O88" s="62"/>
      <c r="P88" s="22" t="str">
        <f>LEFT(A88,5)</f>
        <v>03.05</v>
      </c>
      <c r="Q88" s="48"/>
      <c r="R88" s="48"/>
    </row>
    <row r="89" spans="1:18" s="113" customFormat="1" ht="13.5" thickBot="1">
      <c r="A89" s="224" t="s">
        <v>331</v>
      </c>
      <c r="B89" s="49"/>
      <c r="C89" s="49"/>
      <c r="D89" s="197" t="s">
        <v>175</v>
      </c>
      <c r="E89" s="49"/>
      <c r="F89" s="191"/>
      <c r="G89" s="52"/>
      <c r="H89" s="52"/>
      <c r="I89" s="52"/>
      <c r="J89" s="52"/>
      <c r="K89" s="50"/>
      <c r="L89" s="50"/>
      <c r="M89" s="214"/>
      <c r="N89" s="58"/>
      <c r="O89" s="62"/>
      <c r="P89" s="22"/>
      <c r="Q89" s="48"/>
      <c r="R89" s="48"/>
    </row>
    <row r="90" spans="1:18" s="113" customFormat="1" ht="64.5" thickBot="1">
      <c r="A90" s="224" t="s">
        <v>332</v>
      </c>
      <c r="B90" s="49" t="s">
        <v>58</v>
      </c>
      <c r="C90" s="49" t="s">
        <v>217</v>
      </c>
      <c r="D90" s="76" t="str">
        <f>VLOOKUP(C90,'Fonte Cotação'!B:E,2,0)</f>
        <v>PM - 1' - 0,82x2,10m - Porta semi-oca,  com visor em vidro incolor 4mm dim 50x80cm,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  <c r="E90" s="49" t="s">
        <v>171</v>
      </c>
      <c r="F90" s="191">
        <f>IFERROR(VLOOKUP(C90,LEVANTAMENTO!$C$11:$K$104,$F$64,0),"0")</f>
        <v>1</v>
      </c>
      <c r="G90" s="52">
        <f>VLOOKUP(C90,'Fonte Cotação'!B:E,3,0)</f>
        <v>1993</v>
      </c>
      <c r="H90" s="52">
        <f>VLOOKUP(C90,'Fonte Cotação'!B:E,4,0)</f>
        <v>744</v>
      </c>
      <c r="I90" s="50">
        <f t="shared" ref="I90:I92" si="110">ROUND(G90*(1+$G$3),2)</f>
        <v>2490.62</v>
      </c>
      <c r="J90" s="50">
        <f t="shared" ref="J90:J92" si="111">ROUND(H90*(1+$G$3),2)</f>
        <v>929.77</v>
      </c>
      <c r="K90" s="50">
        <f t="shared" ref="K90:K92" si="112">ROUND(F90*I90,2)</f>
        <v>2490.62</v>
      </c>
      <c r="L90" s="50">
        <f t="shared" ref="L90:L92" si="113">ROUND(F90*J90,2)</f>
        <v>929.77</v>
      </c>
      <c r="M90" s="214">
        <f t="shared" ref="M90:M92" si="114">K90+L90</f>
        <v>3420.39</v>
      </c>
      <c r="N90" s="58">
        <f t="shared" ref="N90:N92" si="115">IF(M90&gt;=0,M90/$N$5,"")</f>
        <v>1.2646205073655738E-2</v>
      </c>
      <c r="O90" s="62" t="s">
        <v>398</v>
      </c>
      <c r="P90" s="22" t="str">
        <f>LEFT(A90,5)</f>
        <v>03.06</v>
      </c>
      <c r="Q90" s="48"/>
      <c r="R90" s="48"/>
    </row>
    <row r="91" spans="1:18" s="113" customFormat="1" ht="65.25" customHeight="1" thickBot="1">
      <c r="A91" s="224" t="s">
        <v>333</v>
      </c>
      <c r="B91" s="49" t="s">
        <v>58</v>
      </c>
      <c r="C91" s="49" t="s">
        <v>218</v>
      </c>
      <c r="D91" s="76" t="str">
        <f>VLOOKUP(C91,'Fonte Cotação'!B:E,2,0)</f>
        <v>PM - 2 - 1,02x2,10m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  <c r="E91" s="49" t="s">
        <v>171</v>
      </c>
      <c r="F91" s="191">
        <f>IFERROR(VLOOKUP(C91,LEVANTAMENTO!$C$11:$K$104,$F$64,0),"0")</f>
        <v>1</v>
      </c>
      <c r="G91" s="52">
        <f>VLOOKUP(C91,'Fonte Cotação'!B:E,3,0)</f>
        <v>2221</v>
      </c>
      <c r="H91" s="52">
        <f>VLOOKUP(C91,'Fonte Cotação'!B:E,4,0)</f>
        <v>744</v>
      </c>
      <c r="I91" s="50">
        <f t="shared" si="110"/>
        <v>2775.55</v>
      </c>
      <c r="J91" s="50">
        <f t="shared" si="111"/>
        <v>929.77</v>
      </c>
      <c r="K91" s="50">
        <f t="shared" si="112"/>
        <v>2775.55</v>
      </c>
      <c r="L91" s="50">
        <f t="shared" si="113"/>
        <v>929.77</v>
      </c>
      <c r="M91" s="214">
        <f t="shared" si="114"/>
        <v>3705.32</v>
      </c>
      <c r="N91" s="58">
        <f t="shared" si="115"/>
        <v>1.3699676523296492E-2</v>
      </c>
      <c r="O91" s="62" t="s">
        <v>398</v>
      </c>
      <c r="P91" s="22" t="str">
        <f>LEFT(A91,5)</f>
        <v>03.06</v>
      </c>
      <c r="Q91" s="48"/>
      <c r="R91" s="48"/>
    </row>
    <row r="92" spans="1:18" s="113" customFormat="1" ht="60.75" customHeight="1" thickBot="1">
      <c r="A92" s="224" t="s">
        <v>334</v>
      </c>
      <c r="B92" s="49" t="s">
        <v>58</v>
      </c>
      <c r="C92" s="49" t="s">
        <v>219</v>
      </c>
      <c r="D92" s="76" t="str">
        <f>VLOOKUP(C92,'Fonte Cotação'!B:E,2,0)</f>
        <v>PM - 3 - 1,07x2,10m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  <c r="E92" s="49" t="s">
        <v>171</v>
      </c>
      <c r="F92" s="191">
        <f>IFERROR(VLOOKUP(C92,LEVANTAMENTO!$C$11:$K$104,$F$64,0),"0")</f>
        <v>1</v>
      </c>
      <c r="G92" s="52">
        <f>VLOOKUP(C92,'Fonte Cotação'!B:E,3,0)</f>
        <v>2356</v>
      </c>
      <c r="H92" s="52">
        <f>VLOOKUP(C92,'Fonte Cotação'!B:E,4,0)</f>
        <v>744</v>
      </c>
      <c r="I92" s="50">
        <f t="shared" si="110"/>
        <v>2944.26</v>
      </c>
      <c r="J92" s="50">
        <f t="shared" si="111"/>
        <v>929.77</v>
      </c>
      <c r="K92" s="50">
        <f t="shared" si="112"/>
        <v>2944.26</v>
      </c>
      <c r="L92" s="50">
        <f t="shared" si="113"/>
        <v>929.77</v>
      </c>
      <c r="M92" s="214">
        <f t="shared" si="114"/>
        <v>3874.03</v>
      </c>
      <c r="N92" s="58">
        <f t="shared" si="115"/>
        <v>1.4323447864569405E-2</v>
      </c>
      <c r="O92" s="62" t="s">
        <v>398</v>
      </c>
      <c r="P92" s="22" t="str">
        <f>LEFT(A92,5)</f>
        <v>03.06</v>
      </c>
      <c r="Q92" s="48"/>
      <c r="R92" s="48"/>
    </row>
    <row r="93" spans="1:18" s="113" customFormat="1" ht="13.5" thickBot="1">
      <c r="A93" s="224" t="s">
        <v>335</v>
      </c>
      <c r="B93" s="49"/>
      <c r="C93" s="49"/>
      <c r="D93" s="197" t="s">
        <v>180</v>
      </c>
      <c r="E93" s="49"/>
      <c r="F93" s="191"/>
      <c r="G93" s="52"/>
      <c r="H93" s="52"/>
      <c r="I93" s="52"/>
      <c r="J93" s="52"/>
      <c r="K93" s="50"/>
      <c r="L93" s="50"/>
      <c r="M93" s="214"/>
      <c r="N93" s="58"/>
      <c r="O93" s="62"/>
      <c r="P93" s="22"/>
      <c r="Q93" s="48"/>
      <c r="R93" s="48"/>
    </row>
    <row r="94" spans="1:18" s="113" customFormat="1" ht="39" thickBot="1">
      <c r="A94" s="224" t="s">
        <v>336</v>
      </c>
      <c r="B94" s="49" t="s">
        <v>274</v>
      </c>
      <c r="C94" s="49" t="s">
        <v>181</v>
      </c>
      <c r="D94" s="76" t="str">
        <f>VLOOKUP(C94,'Fonte Cotação'!B:E,2,0)</f>
        <v>Revestimento Cerâmico Para Piso Com Placas Tipo Porcelanato De Dimensões 60X60 Cm Aplicada Em Ambientes De Área Menor Que 5 M². Retificado Esmaltado Acetinado Com Rejunte Cinza. Referência Portinari Loft A</v>
      </c>
      <c r="E94" s="49" t="s">
        <v>71</v>
      </c>
      <c r="F94" s="191">
        <f>IFERROR(VLOOKUP(C94,LEVANTAMENTO!$C$11:$K$104,$F$64,0),"0")</f>
        <v>0.99</v>
      </c>
      <c r="G94" s="52">
        <f>VLOOKUP(C94,'Fonte Cotação'!B:E,3,0)</f>
        <v>97.67</v>
      </c>
      <c r="H94" s="52">
        <f>VLOOKUP(C94,'Fonte Cotação'!B:E,4,0)</f>
        <v>123.78</v>
      </c>
      <c r="I94" s="50">
        <f t="shared" ref="I94" si="116">ROUND(G94*(1+$G$3),2)</f>
        <v>122.06</v>
      </c>
      <c r="J94" s="50">
        <f t="shared" ref="J94" si="117">ROUND(H94*(1+$G$3),2)</f>
        <v>154.69</v>
      </c>
      <c r="K94" s="50">
        <f t="shared" ref="K94" si="118">ROUND(F94*I94,2)</f>
        <v>120.84</v>
      </c>
      <c r="L94" s="50">
        <f t="shared" ref="L94" si="119">ROUND(F94*J94,2)</f>
        <v>153.13999999999999</v>
      </c>
      <c r="M94" s="214">
        <f t="shared" ref="M94" si="120">K94+L94</f>
        <v>273.98</v>
      </c>
      <c r="N94" s="58">
        <f t="shared" ref="N94" si="121">IF(M94&gt;=0,M94/$N$5,"")</f>
        <v>1.0129860238394452E-3</v>
      </c>
      <c r="O94" s="62"/>
      <c r="P94" s="22" t="str">
        <f>LEFT(A94,5)</f>
        <v>03.07</v>
      </c>
      <c r="Q94" s="48"/>
      <c r="R94" s="48"/>
    </row>
    <row r="95" spans="1:18" s="113" customFormat="1" ht="13.5" thickBot="1">
      <c r="A95" s="224" t="s">
        <v>337</v>
      </c>
      <c r="B95" s="49"/>
      <c r="C95" s="49"/>
      <c r="D95" s="197" t="s">
        <v>182</v>
      </c>
      <c r="E95" s="49"/>
      <c r="F95" s="191"/>
      <c r="G95" s="52"/>
      <c r="H95" s="52"/>
      <c r="I95" s="52"/>
      <c r="J95" s="52"/>
      <c r="K95" s="50"/>
      <c r="L95" s="50"/>
      <c r="M95" s="214"/>
      <c r="N95" s="58"/>
      <c r="O95" s="62"/>
      <c r="P95" s="22"/>
      <c r="Q95" s="48"/>
      <c r="R95" s="48"/>
    </row>
    <row r="96" spans="1:18" s="113" customFormat="1" ht="26.25" thickBot="1">
      <c r="A96" s="224" t="s">
        <v>338</v>
      </c>
      <c r="B96" s="49" t="s">
        <v>58</v>
      </c>
      <c r="C96" s="49" t="s">
        <v>221</v>
      </c>
      <c r="D96" s="76" t="str">
        <f>VLOOKUP(C96,'Fonte Cotação'!B:E,2,0)</f>
        <v>Acabamento com piso vinílico em placas 50x50cm. Ref: Forbo Alura Flex, Grigrio Concrete 1633 ou similar</v>
      </c>
      <c r="E96" s="49" t="s">
        <v>71</v>
      </c>
      <c r="F96" s="191">
        <f>IFERROR(VLOOKUP(C96,LEVANTAMENTO!$C$11:$K$104,$F$64,0),"0")</f>
        <v>2</v>
      </c>
      <c r="G96" s="52">
        <f>VLOOKUP(C96,'Fonte Cotação'!B:E,3,0)</f>
        <v>240</v>
      </c>
      <c r="H96" s="52">
        <f>VLOOKUP(C96,'Fonte Cotação'!B:E,4,0)</f>
        <v>100</v>
      </c>
      <c r="I96" s="50">
        <f t="shared" ref="I96:I97" si="122">ROUND(G96*(1+$G$3),2)</f>
        <v>299.92</v>
      </c>
      <c r="J96" s="50">
        <f t="shared" ref="J96:J97" si="123">ROUND(H96*(1+$G$3),2)</f>
        <v>124.97</v>
      </c>
      <c r="K96" s="50">
        <f t="shared" ref="K96:K97" si="124">ROUND(F96*I96,2)</f>
        <v>599.84</v>
      </c>
      <c r="L96" s="50">
        <f t="shared" ref="L96:L97" si="125">ROUND(F96*J96,2)</f>
        <v>249.94</v>
      </c>
      <c r="M96" s="214">
        <f t="shared" ref="M96:M97" si="126">K96+L96</f>
        <v>849.78</v>
      </c>
      <c r="N96" s="58">
        <f t="shared" ref="N96:N97" si="127">IF(M96&gt;=0,M96/$N$5,"")</f>
        <v>3.1418908801309716E-3</v>
      </c>
      <c r="O96" s="62"/>
      <c r="P96" s="22" t="str">
        <f>LEFT(A96,5)</f>
        <v>03.08</v>
      </c>
      <c r="Q96" s="48"/>
      <c r="R96" s="48"/>
    </row>
    <row r="97" spans="1:18" s="113" customFormat="1" ht="15.75" customHeight="1" thickBot="1">
      <c r="A97" s="224" t="s">
        <v>339</v>
      </c>
      <c r="B97" s="49" t="s">
        <v>58</v>
      </c>
      <c r="C97" s="49" t="s">
        <v>222</v>
      </c>
      <c r="D97" s="76" t="str">
        <f>VLOOKUP(C97,'Fonte Cotação'!B:E,2,0)</f>
        <v>Rodapé em WPC, cor branca, h=7cm e=1,5cm. Ref: Ecovale ou similar</v>
      </c>
      <c r="E97" s="49" t="s">
        <v>75</v>
      </c>
      <c r="F97" s="191">
        <f>IFERROR(VLOOKUP(C97,LEVANTAMENTO!$C$11:$K$104,$F$64,0),"0")</f>
        <v>24.329999999999995</v>
      </c>
      <c r="G97" s="52">
        <f>VLOOKUP(C97,'Fonte Cotação'!B:E,3,0)</f>
        <v>3.6</v>
      </c>
      <c r="H97" s="52">
        <f>VLOOKUP(C97,'Fonte Cotação'!B:E,4,0)</f>
        <v>1</v>
      </c>
      <c r="I97" s="50">
        <f t="shared" si="122"/>
        <v>4.5</v>
      </c>
      <c r="J97" s="50">
        <f t="shared" si="123"/>
        <v>1.25</v>
      </c>
      <c r="K97" s="50">
        <f t="shared" si="124"/>
        <v>109.49</v>
      </c>
      <c r="L97" s="50">
        <f t="shared" si="125"/>
        <v>30.41</v>
      </c>
      <c r="M97" s="214">
        <f t="shared" si="126"/>
        <v>139.9</v>
      </c>
      <c r="N97" s="58">
        <f t="shared" si="127"/>
        <v>5.1725215247513826E-4</v>
      </c>
      <c r="O97" s="62"/>
      <c r="P97" s="22" t="str">
        <f>LEFT(A97,5)</f>
        <v>03.08</v>
      </c>
      <c r="Q97" s="48"/>
      <c r="R97" s="48"/>
    </row>
    <row r="98" spans="1:18" s="113" customFormat="1" ht="13.5" thickBot="1">
      <c r="A98" s="224" t="s">
        <v>340</v>
      </c>
      <c r="B98" s="49"/>
      <c r="C98" s="49"/>
      <c r="D98" s="197" t="s">
        <v>412</v>
      </c>
      <c r="E98" s="49"/>
      <c r="F98" s="191"/>
      <c r="G98" s="52"/>
      <c r="H98" s="52"/>
      <c r="I98" s="52"/>
      <c r="J98" s="52"/>
      <c r="K98" s="50"/>
      <c r="L98" s="50"/>
      <c r="M98" s="214"/>
      <c r="N98" s="58"/>
      <c r="O98" s="62"/>
      <c r="P98" s="22"/>
      <c r="Q98" s="48"/>
      <c r="R98" s="48"/>
    </row>
    <row r="99" spans="1:18" s="113" customFormat="1" ht="75.75" customHeight="1" thickBot="1">
      <c r="A99" s="224" t="s">
        <v>341</v>
      </c>
      <c r="B99" s="49" t="s">
        <v>58</v>
      </c>
      <c r="C99" s="49" t="s">
        <v>225</v>
      </c>
      <c r="D99" s="76" t="str">
        <f>VLOOKUP(C99,'Fonte Cotação'!B:E,2,0)</f>
        <v>TI-01 - Tampo em Inox com Pia e expurgo 1,50x0,60m: aço AISI304, liga 18.8, chapa e&gt;1mm, acabamento polido, com reforço, com rebaixo na área molhada. Cuba inox AISI304 50x40x21, ref: Tramontina Prime Maxi cuba 50 Plus BS. Cuba de Expurgo redonda Ø34, em Inox AISI304 e&gt;1mm, monobloco, lisa, acabamento polido, borda lisa, espera para entrada de água saída de esgoto. Conforme projeto</v>
      </c>
      <c r="E99" s="49" t="s">
        <v>171</v>
      </c>
      <c r="F99" s="191">
        <f>IFERROR(VLOOKUP(C99,LEVANTAMENTO!$C$11:$K$104,$F$64,0),"0")</f>
        <v>1</v>
      </c>
      <c r="G99" s="52">
        <f>VLOOKUP(C99,'Fonte Cotação'!B:E,3,0)</f>
        <v>2697.84</v>
      </c>
      <c r="H99" s="52">
        <f>VLOOKUP(C99,'Fonte Cotação'!B:E,4,0)</f>
        <v>269.78400000000005</v>
      </c>
      <c r="I99" s="50">
        <f t="shared" ref="I99:I101" si="128">ROUND(G99*(1+$G$3),2)</f>
        <v>3371.45</v>
      </c>
      <c r="J99" s="50">
        <f t="shared" ref="J99:J101" si="129">ROUND(H99*(1+$G$3),2)</f>
        <v>337.15</v>
      </c>
      <c r="K99" s="50">
        <f t="shared" ref="K99:K101" si="130">ROUND(F99*I99,2)</f>
        <v>3371.45</v>
      </c>
      <c r="L99" s="50">
        <f t="shared" ref="L99:L101" si="131">ROUND(F99*J99,2)</f>
        <v>337.15</v>
      </c>
      <c r="M99" s="214">
        <f t="shared" ref="M99:M101" si="132">K99+L99</f>
        <v>3708.6</v>
      </c>
      <c r="N99" s="58">
        <f t="shared" ref="N99:N101" si="133">IF(M99&gt;=0,M99/$N$5,"")</f>
        <v>1.3711803664541082E-2</v>
      </c>
      <c r="O99" s="62"/>
      <c r="P99" s="22" t="str">
        <f>LEFT(A99,5)</f>
        <v>03.09</v>
      </c>
      <c r="Q99" s="48"/>
      <c r="R99" s="48"/>
    </row>
    <row r="100" spans="1:18" s="113" customFormat="1" ht="39" thickBot="1">
      <c r="A100" s="224" t="s">
        <v>342</v>
      </c>
      <c r="B100" s="49" t="s">
        <v>58</v>
      </c>
      <c r="C100" s="49" t="s">
        <v>226</v>
      </c>
      <c r="D100" s="76" t="str">
        <f>VLOOKUP(C100,'Fonte Cotação'!B:E,2,0)</f>
        <v>LC-01 - Lavabo Cirúrgico Suspenso 1,80x0,50m, em Inox AISI304, liga 18.8, chapa e&gt;1mm, espelho 11cm, saia de 4cm, cantos arredondados e soldas ocultas. Conforme projeto.</v>
      </c>
      <c r="E100" s="49" t="s">
        <v>171</v>
      </c>
      <c r="F100" s="191">
        <f>IFERROR(VLOOKUP(C100,LEVANTAMENTO!$C$11:$K$104,$F$64,0),"0")</f>
        <v>1</v>
      </c>
      <c r="G100" s="52">
        <f>VLOOKUP(C100,'Fonte Cotação'!B:E,3,0)</f>
        <v>2958.1200000000003</v>
      </c>
      <c r="H100" s="52">
        <f>VLOOKUP(C100,'Fonte Cotação'!B:E,4,0)</f>
        <v>295.81200000000007</v>
      </c>
      <c r="I100" s="50">
        <f t="shared" si="128"/>
        <v>3696.72</v>
      </c>
      <c r="J100" s="50">
        <f t="shared" si="129"/>
        <v>369.67</v>
      </c>
      <c r="K100" s="50">
        <f t="shared" si="130"/>
        <v>3696.72</v>
      </c>
      <c r="L100" s="50">
        <f t="shared" si="131"/>
        <v>369.67</v>
      </c>
      <c r="M100" s="214">
        <f t="shared" si="132"/>
        <v>4066.39</v>
      </c>
      <c r="N100" s="58">
        <f t="shared" si="133"/>
        <v>1.5034660330974819E-2</v>
      </c>
      <c r="O100" s="62"/>
      <c r="P100" s="22" t="str">
        <f>LEFT(A100,5)</f>
        <v>03.09</v>
      </c>
      <c r="Q100" s="48"/>
      <c r="R100" s="48"/>
    </row>
    <row r="101" spans="1:18" s="113" customFormat="1" ht="26.25" thickBot="1">
      <c r="A101" s="224" t="s">
        <v>343</v>
      </c>
      <c r="B101" s="49" t="s">
        <v>58</v>
      </c>
      <c r="C101" s="49" t="s">
        <v>224</v>
      </c>
      <c r="D101" s="76" t="str">
        <f>VLOOKUP(C101,'Fonte Cotação'!B:E,2,0)</f>
        <v>Torneira Automática para Pia de Banheiro Bica Baixa Cromada Ref: Decamatic Eco Deca</v>
      </c>
      <c r="E101" s="49" t="s">
        <v>171</v>
      </c>
      <c r="F101" s="191">
        <f>IFERROR(VLOOKUP(C101,LEVANTAMENTO!$C$11:$K$104,$F$64,0),"0")</f>
        <v>3</v>
      </c>
      <c r="G101" s="52">
        <f>VLOOKUP(C101,'Fonte Cotação'!B:E,3,0)</f>
        <v>460</v>
      </c>
      <c r="H101" s="52">
        <f>VLOOKUP(C101,'Fonte Cotação'!B:E,4,0)</f>
        <v>50</v>
      </c>
      <c r="I101" s="50">
        <f t="shared" si="128"/>
        <v>574.86</v>
      </c>
      <c r="J101" s="50">
        <f t="shared" si="129"/>
        <v>62.48</v>
      </c>
      <c r="K101" s="50">
        <f t="shared" si="130"/>
        <v>1724.58</v>
      </c>
      <c r="L101" s="50">
        <f t="shared" si="131"/>
        <v>187.44</v>
      </c>
      <c r="M101" s="214">
        <f t="shared" si="132"/>
        <v>1912.02</v>
      </c>
      <c r="N101" s="58">
        <f t="shared" si="133"/>
        <v>7.0693099397820848E-3</v>
      </c>
      <c r="O101" s="62"/>
      <c r="P101" s="22" t="str">
        <f>LEFT(A101,5)</f>
        <v>03.09</v>
      </c>
      <c r="Q101" s="48"/>
      <c r="R101" s="48"/>
    </row>
    <row r="102" spans="1:18" s="251" customFormat="1" ht="13.5" thickBot="1">
      <c r="A102" s="224" t="s">
        <v>621</v>
      </c>
      <c r="B102" s="49"/>
      <c r="C102" s="49"/>
      <c r="D102" s="197" t="s">
        <v>706</v>
      </c>
      <c r="E102" s="49"/>
      <c r="F102" s="191"/>
      <c r="G102" s="52"/>
      <c r="H102" s="52"/>
      <c r="I102" s="50"/>
      <c r="J102" s="50"/>
      <c r="K102" s="50"/>
      <c r="L102" s="50"/>
      <c r="M102" s="214"/>
      <c r="N102" s="58"/>
      <c r="O102" s="62"/>
      <c r="P102" s="22"/>
      <c r="Q102" s="48"/>
      <c r="R102" s="48"/>
    </row>
    <row r="103" spans="1:18" s="251" customFormat="1" ht="26.25" thickBot="1">
      <c r="A103" s="224" t="s">
        <v>622</v>
      </c>
      <c r="B103" s="49" t="s">
        <v>471</v>
      </c>
      <c r="C103" s="49">
        <v>4</v>
      </c>
      <c r="D103" s="76" t="s">
        <v>473</v>
      </c>
      <c r="E103" s="49" t="s">
        <v>44</v>
      </c>
      <c r="F103" s="191">
        <v>6</v>
      </c>
      <c r="G103" s="52">
        <f>'Composições elétrica'!I$49</f>
        <v>0</v>
      </c>
      <c r="H103" s="52">
        <f>'Composições elétrica'!J$49</f>
        <v>6.1880000000000006</v>
      </c>
      <c r="I103" s="50">
        <f t="shared" ref="I103:I133" si="134">ROUND(G103*(1+$G$3),2)</f>
        <v>0</v>
      </c>
      <c r="J103" s="50">
        <f t="shared" ref="J103:J133" si="135">ROUND(H103*(1+$G$3),2)</f>
        <v>7.73</v>
      </c>
      <c r="K103" s="50">
        <f t="shared" ref="K103" si="136">ROUND(F103*I103,2)</f>
        <v>0</v>
      </c>
      <c r="L103" s="50">
        <f t="shared" ref="L103" si="137">ROUND(F103*J103,2)</f>
        <v>46.38</v>
      </c>
      <c r="M103" s="214">
        <f t="shared" ref="M103" si="138">K103+L103</f>
        <v>46.38</v>
      </c>
      <c r="N103" s="58">
        <f t="shared" ref="N103" si="139">IF(M103&gt;=0,M103/$N$5,"")</f>
        <v>1.7148073503786212E-4</v>
      </c>
      <c r="O103" s="62"/>
      <c r="P103" s="22"/>
      <c r="Q103" s="48"/>
      <c r="R103" s="48"/>
    </row>
    <row r="104" spans="1:18" s="251" customFormat="1" ht="13.5" thickBot="1">
      <c r="A104" s="224" t="s">
        <v>633</v>
      </c>
      <c r="B104" s="49" t="s">
        <v>439</v>
      </c>
      <c r="C104" s="49">
        <v>97661</v>
      </c>
      <c r="D104" s="76" t="s">
        <v>619</v>
      </c>
      <c r="E104" s="49" t="s">
        <v>75</v>
      </c>
      <c r="F104" s="191">
        <v>12</v>
      </c>
      <c r="G104" s="52">
        <f>'Composições elétrica'!I$49</f>
        <v>0</v>
      </c>
      <c r="H104" s="52"/>
      <c r="I104" s="50">
        <f t="shared" si="134"/>
        <v>0</v>
      </c>
      <c r="J104" s="50">
        <f t="shared" si="135"/>
        <v>0</v>
      </c>
      <c r="K104" s="50">
        <f t="shared" ref="K104:K133" si="140">ROUND(F104*I104,2)</f>
        <v>0</v>
      </c>
      <c r="L104" s="50">
        <f t="shared" ref="L104:L133" si="141">ROUND(F104*J104,2)</f>
        <v>0</v>
      </c>
      <c r="M104" s="214">
        <f t="shared" ref="M104:M133" si="142">K104+L104</f>
        <v>0</v>
      </c>
      <c r="N104" s="58">
        <f t="shared" ref="N104:N133" si="143">IF(M104&gt;=0,M104/$N$5,"")</f>
        <v>0</v>
      </c>
      <c r="O104" s="62"/>
      <c r="P104" s="22"/>
      <c r="Q104" s="48"/>
      <c r="R104" s="48"/>
    </row>
    <row r="105" spans="1:18" s="251" customFormat="1" ht="13.5" thickBot="1">
      <c r="A105" s="224" t="s">
        <v>634</v>
      </c>
      <c r="B105" s="49" t="s">
        <v>471</v>
      </c>
      <c r="C105" s="49">
        <v>6</v>
      </c>
      <c r="D105" s="76" t="s">
        <v>476</v>
      </c>
      <c r="E105" s="49" t="s">
        <v>44</v>
      </c>
      <c r="F105" s="191">
        <v>2</v>
      </c>
      <c r="G105" s="52">
        <f>'Composições elétrica'!I$54</f>
        <v>0</v>
      </c>
      <c r="H105" s="52">
        <f>'Composições elétrica'!J$54</f>
        <v>8.84</v>
      </c>
      <c r="I105" s="50">
        <f t="shared" si="134"/>
        <v>0</v>
      </c>
      <c r="J105" s="50">
        <f t="shared" si="135"/>
        <v>11.05</v>
      </c>
      <c r="K105" s="50">
        <f t="shared" si="140"/>
        <v>0</v>
      </c>
      <c r="L105" s="50">
        <f t="shared" si="141"/>
        <v>22.1</v>
      </c>
      <c r="M105" s="214">
        <f t="shared" si="142"/>
        <v>22.1</v>
      </c>
      <c r="N105" s="58">
        <f t="shared" si="143"/>
        <v>8.1710311434600102E-5</v>
      </c>
      <c r="O105" s="62"/>
      <c r="P105" s="22"/>
      <c r="Q105" s="48"/>
      <c r="R105" s="48"/>
    </row>
    <row r="106" spans="1:18" s="251" customFormat="1" ht="13.5" thickBot="1">
      <c r="A106" s="224" t="s">
        <v>635</v>
      </c>
      <c r="B106" s="49" t="s">
        <v>471</v>
      </c>
      <c r="C106" s="49">
        <v>13</v>
      </c>
      <c r="D106" s="76" t="s">
        <v>576</v>
      </c>
      <c r="E106" s="49" t="s">
        <v>75</v>
      </c>
      <c r="F106" s="191">
        <v>200</v>
      </c>
      <c r="G106" s="52">
        <f>'Composições elétrica'!I$59</f>
        <v>2.7607999999999997</v>
      </c>
      <c r="H106" s="52">
        <f>'Composições elétrica'!J$59</f>
        <v>1.3516499999999998</v>
      </c>
      <c r="I106" s="50">
        <f t="shared" si="134"/>
        <v>3.45</v>
      </c>
      <c r="J106" s="50">
        <f t="shared" si="135"/>
        <v>1.69</v>
      </c>
      <c r="K106" s="50">
        <f t="shared" si="140"/>
        <v>690</v>
      </c>
      <c r="L106" s="50">
        <f t="shared" si="141"/>
        <v>338</v>
      </c>
      <c r="M106" s="214">
        <f t="shared" si="142"/>
        <v>1028</v>
      </c>
      <c r="N106" s="58">
        <f t="shared" si="143"/>
        <v>3.8008235364148826E-3</v>
      </c>
      <c r="O106" s="62"/>
      <c r="P106" s="22"/>
      <c r="Q106" s="48"/>
      <c r="R106" s="48"/>
    </row>
    <row r="107" spans="1:18" s="251" customFormat="1" ht="13.5" thickBot="1">
      <c r="A107" s="224" t="s">
        <v>636</v>
      </c>
      <c r="B107" s="49" t="s">
        <v>471</v>
      </c>
      <c r="C107" s="49">
        <v>14</v>
      </c>
      <c r="D107" s="76" t="s">
        <v>582</v>
      </c>
      <c r="E107" s="49" t="s">
        <v>75</v>
      </c>
      <c r="F107" s="191">
        <v>600</v>
      </c>
      <c r="G107" s="52">
        <f>'Composições elétrica'!I$66</f>
        <v>4.9504000000000001</v>
      </c>
      <c r="H107" s="52">
        <f>'Composições elétrica'!J$66</f>
        <v>1.79365</v>
      </c>
      <c r="I107" s="50">
        <f t="shared" si="134"/>
        <v>6.19</v>
      </c>
      <c r="J107" s="50">
        <f t="shared" si="135"/>
        <v>2.2400000000000002</v>
      </c>
      <c r="K107" s="50">
        <f t="shared" si="140"/>
        <v>3714</v>
      </c>
      <c r="L107" s="50">
        <f t="shared" si="141"/>
        <v>1344</v>
      </c>
      <c r="M107" s="214">
        <f t="shared" si="142"/>
        <v>5058</v>
      </c>
      <c r="N107" s="58">
        <f t="shared" si="143"/>
        <v>1.8700939150959606E-2</v>
      </c>
      <c r="O107" s="62"/>
      <c r="P107" s="22"/>
      <c r="Q107" s="48"/>
      <c r="R107" s="48"/>
    </row>
    <row r="108" spans="1:18" s="251" customFormat="1" ht="13.5" thickBot="1">
      <c r="A108" s="224" t="s">
        <v>637</v>
      </c>
      <c r="B108" s="49" t="s">
        <v>471</v>
      </c>
      <c r="C108" s="49">
        <v>15</v>
      </c>
      <c r="D108" s="76" t="s">
        <v>623</v>
      </c>
      <c r="E108" s="49" t="s">
        <v>75</v>
      </c>
      <c r="F108" s="191">
        <v>726</v>
      </c>
      <c r="G108" s="52">
        <f>'Composições elétrica'!I$73</f>
        <v>6.9257999999999997</v>
      </c>
      <c r="H108" s="52">
        <f>'Composições elétrica'!J$73</f>
        <v>2.3240499999999997</v>
      </c>
      <c r="I108" s="50">
        <f t="shared" si="134"/>
        <v>8.66</v>
      </c>
      <c r="J108" s="50">
        <f t="shared" si="135"/>
        <v>2.9</v>
      </c>
      <c r="K108" s="50">
        <f t="shared" si="140"/>
        <v>6287.16</v>
      </c>
      <c r="L108" s="50">
        <f t="shared" si="141"/>
        <v>2105.4</v>
      </c>
      <c r="M108" s="214">
        <f t="shared" si="142"/>
        <v>8392.56</v>
      </c>
      <c r="N108" s="58">
        <f t="shared" si="143"/>
        <v>3.1029805037717982E-2</v>
      </c>
      <c r="O108" s="62"/>
      <c r="P108" s="22"/>
      <c r="Q108" s="48"/>
      <c r="R108" s="48"/>
    </row>
    <row r="109" spans="1:18" s="251" customFormat="1" ht="13.5" thickBot="1">
      <c r="A109" s="224" t="s">
        <v>639</v>
      </c>
      <c r="B109" s="49" t="s">
        <v>471</v>
      </c>
      <c r="C109" s="49" t="s">
        <v>640</v>
      </c>
      <c r="D109" s="76" t="s">
        <v>624</v>
      </c>
      <c r="E109" s="49" t="s">
        <v>44</v>
      </c>
      <c r="F109" s="191">
        <v>3</v>
      </c>
      <c r="G109" s="52">
        <f>'Composições elétrica'!I$87</f>
        <v>2.5299999999999998</v>
      </c>
      <c r="H109" s="52">
        <f>'Composições elétrica'!J$87</f>
        <v>2.2177759999999997</v>
      </c>
      <c r="I109" s="50">
        <f t="shared" si="134"/>
        <v>3.16</v>
      </c>
      <c r="J109" s="50">
        <f t="shared" si="135"/>
        <v>2.77</v>
      </c>
      <c r="K109" s="50">
        <f t="shared" si="140"/>
        <v>9.48</v>
      </c>
      <c r="L109" s="50">
        <f t="shared" si="141"/>
        <v>8.31</v>
      </c>
      <c r="M109" s="214">
        <f t="shared" si="142"/>
        <v>17.79</v>
      </c>
      <c r="N109" s="58">
        <f t="shared" si="143"/>
        <v>6.5774952055273103E-5</v>
      </c>
      <c r="O109" s="62"/>
      <c r="P109" s="22"/>
      <c r="Q109" s="48"/>
      <c r="R109" s="48"/>
    </row>
    <row r="110" spans="1:18" s="251" customFormat="1" ht="26.25" thickBot="1">
      <c r="A110" s="224" t="s">
        <v>641</v>
      </c>
      <c r="B110" s="49" t="s">
        <v>471</v>
      </c>
      <c r="C110" s="49" t="s">
        <v>642</v>
      </c>
      <c r="D110" s="76" t="s">
        <v>625</v>
      </c>
      <c r="E110" s="49" t="s">
        <v>44</v>
      </c>
      <c r="F110" s="191">
        <v>15</v>
      </c>
      <c r="G110" s="52">
        <f>'Composições elétrica'!I$92</f>
        <v>16.59</v>
      </c>
      <c r="H110" s="52">
        <f>'Composições elétrica'!J$92</f>
        <v>13.512047999999998</v>
      </c>
      <c r="I110" s="50">
        <f t="shared" si="134"/>
        <v>20.73</v>
      </c>
      <c r="J110" s="50">
        <f t="shared" si="135"/>
        <v>16.89</v>
      </c>
      <c r="K110" s="50">
        <f t="shared" si="140"/>
        <v>310.95</v>
      </c>
      <c r="L110" s="50">
        <f t="shared" si="141"/>
        <v>253.35</v>
      </c>
      <c r="M110" s="214">
        <f t="shared" si="142"/>
        <v>564.29999999999995</v>
      </c>
      <c r="N110" s="58">
        <f t="shared" si="143"/>
        <v>2.0863859159522551E-3</v>
      </c>
      <c r="O110" s="62"/>
      <c r="P110" s="22"/>
      <c r="Q110" s="48"/>
      <c r="R110" s="48"/>
    </row>
    <row r="111" spans="1:18" s="251" customFormat="1" ht="26.25" thickBot="1">
      <c r="A111" s="224" t="s">
        <v>644</v>
      </c>
      <c r="B111" s="49" t="s">
        <v>471</v>
      </c>
      <c r="C111" s="49" t="s">
        <v>581</v>
      </c>
      <c r="D111" s="76" t="s">
        <v>586</v>
      </c>
      <c r="E111" s="49" t="s">
        <v>44</v>
      </c>
      <c r="F111" s="191">
        <v>34</v>
      </c>
      <c r="G111" s="52">
        <f>'Composições elétrica'!I$98</f>
        <v>46.59</v>
      </c>
      <c r="H111" s="52">
        <f>'Composições elétrica'!J$98</f>
        <v>24.296847999999997</v>
      </c>
      <c r="I111" s="50">
        <f t="shared" si="134"/>
        <v>58.22</v>
      </c>
      <c r="J111" s="50">
        <f t="shared" si="135"/>
        <v>30.36</v>
      </c>
      <c r="K111" s="50">
        <f t="shared" si="140"/>
        <v>1979.48</v>
      </c>
      <c r="L111" s="50">
        <f t="shared" si="141"/>
        <v>1032.24</v>
      </c>
      <c r="M111" s="214">
        <f t="shared" si="142"/>
        <v>3011.7200000000003</v>
      </c>
      <c r="N111" s="58">
        <f t="shared" si="143"/>
        <v>1.1135229825964427E-2</v>
      </c>
      <c r="O111" s="62"/>
      <c r="P111" s="22"/>
      <c r="Q111" s="48"/>
      <c r="R111" s="48"/>
    </row>
    <row r="112" spans="1:18" s="251" customFormat="1" ht="26.25" thickBot="1">
      <c r="A112" s="224" t="s">
        <v>645</v>
      </c>
      <c r="B112" s="49" t="s">
        <v>471</v>
      </c>
      <c r="C112" s="49" t="s">
        <v>584</v>
      </c>
      <c r="D112" s="76" t="s">
        <v>588</v>
      </c>
      <c r="E112" s="49" t="s">
        <v>44</v>
      </c>
      <c r="F112" s="191">
        <v>15</v>
      </c>
      <c r="G112" s="52">
        <f>'Composições elétrica'!I$105</f>
        <v>65.25</v>
      </c>
      <c r="H112" s="52">
        <f>'Composições elétrica'!J$105</f>
        <v>7.6510200000000008</v>
      </c>
      <c r="I112" s="50">
        <f t="shared" si="134"/>
        <v>81.540000000000006</v>
      </c>
      <c r="J112" s="50">
        <f t="shared" si="135"/>
        <v>9.56</v>
      </c>
      <c r="K112" s="50">
        <f t="shared" si="140"/>
        <v>1223.0999999999999</v>
      </c>
      <c r="L112" s="50">
        <f t="shared" si="141"/>
        <v>143.4</v>
      </c>
      <c r="M112" s="214">
        <f t="shared" si="142"/>
        <v>1366.5</v>
      </c>
      <c r="N112" s="58">
        <f t="shared" si="143"/>
        <v>5.0523593020534406E-3</v>
      </c>
      <c r="O112" s="62"/>
      <c r="P112" s="22"/>
      <c r="Q112" s="48"/>
      <c r="R112" s="48"/>
    </row>
    <row r="113" spans="1:18" s="251" customFormat="1" ht="26.25" thickBot="1">
      <c r="A113" s="224" t="s">
        <v>646</v>
      </c>
      <c r="B113" s="49" t="s">
        <v>471</v>
      </c>
      <c r="C113" s="49" t="s">
        <v>667</v>
      </c>
      <c r="D113" s="76" t="s">
        <v>668</v>
      </c>
      <c r="E113" s="49" t="s">
        <v>44</v>
      </c>
      <c r="F113" s="191">
        <v>10</v>
      </c>
      <c r="G113" s="52">
        <f>'Composições elétrica'!I$112</f>
        <v>98.809999999999988</v>
      </c>
      <c r="H113" s="52">
        <f>'Composições elétrica'!J$112</f>
        <v>12.20804</v>
      </c>
      <c r="I113" s="50">
        <f t="shared" si="134"/>
        <v>123.48</v>
      </c>
      <c r="J113" s="50">
        <f t="shared" si="135"/>
        <v>15.26</v>
      </c>
      <c r="K113" s="50">
        <f t="shared" si="140"/>
        <v>1234.8</v>
      </c>
      <c r="L113" s="50">
        <f t="shared" si="141"/>
        <v>152.6</v>
      </c>
      <c r="M113" s="214">
        <f t="shared" si="142"/>
        <v>1387.3999999999999</v>
      </c>
      <c r="N113" s="58">
        <f t="shared" si="143"/>
        <v>5.1296328544961165E-3</v>
      </c>
      <c r="O113" s="62"/>
      <c r="P113" s="22"/>
      <c r="Q113" s="48"/>
      <c r="R113" s="48"/>
    </row>
    <row r="114" spans="1:18" s="251" customFormat="1" ht="26.25" thickBot="1">
      <c r="A114" s="224" t="s">
        <v>647</v>
      </c>
      <c r="B114" s="49" t="s">
        <v>471</v>
      </c>
      <c r="C114" s="49">
        <v>34</v>
      </c>
      <c r="D114" s="76" t="s">
        <v>669</v>
      </c>
      <c r="E114" s="49" t="s">
        <v>44</v>
      </c>
      <c r="F114" s="191">
        <v>3</v>
      </c>
      <c r="G114" s="52">
        <v>0</v>
      </c>
      <c r="H114" s="52">
        <f>'Composições elétrica'!J$119</f>
        <v>9.9450000000000003</v>
      </c>
      <c r="I114" s="50">
        <f t="shared" si="134"/>
        <v>0</v>
      </c>
      <c r="J114" s="50">
        <f t="shared" si="135"/>
        <v>12.43</v>
      </c>
      <c r="K114" s="50">
        <f t="shared" si="140"/>
        <v>0</v>
      </c>
      <c r="L114" s="50">
        <f t="shared" si="141"/>
        <v>37.29</v>
      </c>
      <c r="M114" s="214">
        <f t="shared" si="142"/>
        <v>37.29</v>
      </c>
      <c r="N114" s="58">
        <f t="shared" si="143"/>
        <v>1.378722856740379E-4</v>
      </c>
      <c r="O114" s="62"/>
      <c r="P114" s="22"/>
      <c r="Q114" s="48"/>
      <c r="R114" s="48"/>
    </row>
    <row r="115" spans="1:18" s="251" customFormat="1" ht="26.25" thickBot="1">
      <c r="A115" s="224" t="s">
        <v>648</v>
      </c>
      <c r="B115" s="49" t="s">
        <v>471</v>
      </c>
      <c r="C115" s="49">
        <v>36</v>
      </c>
      <c r="D115" s="76" t="s">
        <v>626</v>
      </c>
      <c r="E115" s="49" t="s">
        <v>44</v>
      </c>
      <c r="F115" s="191">
        <v>2</v>
      </c>
      <c r="G115" s="52">
        <f>'Composições elétrica'!I$131</f>
        <v>18.05</v>
      </c>
      <c r="H115" s="52">
        <f>'Composições elétrica'!J$131</f>
        <v>24.530999999999999</v>
      </c>
      <c r="I115" s="50">
        <f t="shared" si="134"/>
        <v>22.56</v>
      </c>
      <c r="J115" s="50">
        <f t="shared" si="135"/>
        <v>30.66</v>
      </c>
      <c r="K115" s="50">
        <f t="shared" si="140"/>
        <v>45.12</v>
      </c>
      <c r="L115" s="50">
        <f t="shared" si="141"/>
        <v>61.32</v>
      </c>
      <c r="M115" s="214">
        <f t="shared" si="142"/>
        <v>106.44</v>
      </c>
      <c r="N115" s="58">
        <f t="shared" si="143"/>
        <v>3.9354052258365767E-4</v>
      </c>
      <c r="O115" s="62"/>
      <c r="P115" s="22"/>
      <c r="Q115" s="48"/>
      <c r="R115" s="48"/>
    </row>
    <row r="116" spans="1:18" s="251" customFormat="1" ht="13.5" thickBot="1">
      <c r="A116" s="224" t="s">
        <v>649</v>
      </c>
      <c r="B116" s="49" t="s">
        <v>471</v>
      </c>
      <c r="C116" s="49">
        <v>37</v>
      </c>
      <c r="D116" s="76" t="s">
        <v>627</v>
      </c>
      <c r="E116" s="49" t="s">
        <v>44</v>
      </c>
      <c r="F116" s="191">
        <v>5</v>
      </c>
      <c r="G116" s="52">
        <f>'Composições elétrica'!I$137</f>
        <v>7.16</v>
      </c>
      <c r="H116" s="52">
        <f>'Composições elétrica'!J$137</f>
        <v>9.9450000000000003</v>
      </c>
      <c r="I116" s="50">
        <f t="shared" si="134"/>
        <v>8.9499999999999993</v>
      </c>
      <c r="J116" s="50">
        <f t="shared" si="135"/>
        <v>12.43</v>
      </c>
      <c r="K116" s="50">
        <f t="shared" si="140"/>
        <v>44.75</v>
      </c>
      <c r="L116" s="50">
        <f t="shared" si="141"/>
        <v>62.15</v>
      </c>
      <c r="M116" s="214">
        <f t="shared" si="142"/>
        <v>106.9</v>
      </c>
      <c r="N116" s="58">
        <f t="shared" si="143"/>
        <v>3.9524128019722854E-4</v>
      </c>
      <c r="O116" s="62"/>
      <c r="P116" s="22"/>
      <c r="Q116" s="48"/>
      <c r="R116" s="48"/>
    </row>
    <row r="117" spans="1:18" s="251" customFormat="1" ht="26.25" thickBot="1">
      <c r="A117" s="224" t="s">
        <v>650</v>
      </c>
      <c r="B117" s="49" t="s">
        <v>471</v>
      </c>
      <c r="C117" s="49">
        <v>45</v>
      </c>
      <c r="D117" s="76" t="s">
        <v>628</v>
      </c>
      <c r="E117" s="49" t="s">
        <v>44</v>
      </c>
      <c r="F117" s="191">
        <v>22</v>
      </c>
      <c r="G117" s="52">
        <f>'Composições elétrica'!I$148</f>
        <v>18.38</v>
      </c>
      <c r="H117" s="52">
        <f>'Composições elétrica'!J$148</f>
        <v>1.8998000000000002</v>
      </c>
      <c r="I117" s="50">
        <f t="shared" si="134"/>
        <v>22.97</v>
      </c>
      <c r="J117" s="50">
        <f t="shared" si="135"/>
        <v>2.37</v>
      </c>
      <c r="K117" s="50">
        <f t="shared" si="140"/>
        <v>505.34</v>
      </c>
      <c r="L117" s="50">
        <f t="shared" si="141"/>
        <v>52.14</v>
      </c>
      <c r="M117" s="214">
        <f t="shared" si="142"/>
        <v>557.48</v>
      </c>
      <c r="N117" s="58">
        <f t="shared" si="143"/>
        <v>2.0611703356814871E-3</v>
      </c>
      <c r="O117" s="62"/>
      <c r="P117" s="22"/>
      <c r="Q117" s="48"/>
      <c r="R117" s="48"/>
    </row>
    <row r="118" spans="1:18" s="251" customFormat="1" ht="26.25" thickBot="1">
      <c r="A118" s="224" t="s">
        <v>651</v>
      </c>
      <c r="B118" s="49" t="s">
        <v>471</v>
      </c>
      <c r="C118" s="49">
        <v>48</v>
      </c>
      <c r="D118" s="110" t="s">
        <v>595</v>
      </c>
      <c r="E118" s="49" t="s">
        <v>44</v>
      </c>
      <c r="F118" s="191">
        <v>11</v>
      </c>
      <c r="G118" s="52">
        <f>'Composições elétrica'!I$160</f>
        <v>90.07</v>
      </c>
      <c r="H118" s="52">
        <f>'Composições elétrica'!J$160</f>
        <v>20.035210599999999</v>
      </c>
      <c r="I118" s="50">
        <f t="shared" si="134"/>
        <v>112.56</v>
      </c>
      <c r="J118" s="50">
        <f t="shared" si="135"/>
        <v>25.04</v>
      </c>
      <c r="K118" s="50">
        <f t="shared" si="140"/>
        <v>1238.1600000000001</v>
      </c>
      <c r="L118" s="50">
        <f t="shared" si="141"/>
        <v>275.44</v>
      </c>
      <c r="M118" s="214">
        <f t="shared" si="142"/>
        <v>1513.6000000000001</v>
      </c>
      <c r="N118" s="58">
        <f t="shared" si="143"/>
        <v>5.5962320084801233E-3</v>
      </c>
      <c r="O118" s="62"/>
      <c r="P118" s="22"/>
      <c r="Q118" s="48"/>
      <c r="R118" s="48"/>
    </row>
    <row r="119" spans="1:18" s="251" customFormat="1" ht="26.25" thickBot="1">
      <c r="A119" s="224" t="s">
        <v>652</v>
      </c>
      <c r="B119" s="49" t="s">
        <v>471</v>
      </c>
      <c r="C119" s="49">
        <v>51</v>
      </c>
      <c r="D119" s="76" t="s">
        <v>705</v>
      </c>
      <c r="E119" s="49" t="s">
        <v>44</v>
      </c>
      <c r="F119" s="191">
        <v>4</v>
      </c>
      <c r="G119" s="52">
        <f>'Composições elétrica'!I$167</f>
        <v>0</v>
      </c>
      <c r="H119" s="52">
        <f>'Composições elétrica'!J$167</f>
        <v>18.955210600000001</v>
      </c>
      <c r="I119" s="50">
        <f t="shared" si="134"/>
        <v>0</v>
      </c>
      <c r="J119" s="50">
        <f t="shared" si="135"/>
        <v>23.69</v>
      </c>
      <c r="K119" s="50">
        <f t="shared" si="140"/>
        <v>0</v>
      </c>
      <c r="L119" s="50">
        <f t="shared" si="141"/>
        <v>94.76</v>
      </c>
      <c r="M119" s="214">
        <f t="shared" si="142"/>
        <v>94.76</v>
      </c>
      <c r="N119" s="58">
        <f t="shared" si="143"/>
        <v>3.5035606839559753E-4</v>
      </c>
      <c r="O119" s="62"/>
      <c r="P119" s="22"/>
      <c r="Q119" s="48"/>
      <c r="R119" s="48"/>
    </row>
    <row r="120" spans="1:18" s="251" customFormat="1" ht="26.25" thickBot="1">
      <c r="A120" s="224" t="s">
        <v>653</v>
      </c>
      <c r="B120" s="49" t="s">
        <v>471</v>
      </c>
      <c r="C120" s="49">
        <v>77</v>
      </c>
      <c r="D120" s="76" t="s">
        <v>596</v>
      </c>
      <c r="E120" s="49" t="s">
        <v>75</v>
      </c>
      <c r="F120" s="191">
        <v>1050</v>
      </c>
      <c r="G120" s="52">
        <f>'Composições elétrica'!I$173</f>
        <v>2.4569999999999999</v>
      </c>
      <c r="H120" s="52">
        <f>'Composições elétrica'!J$173</f>
        <v>1.1889799999999999</v>
      </c>
      <c r="I120" s="50">
        <f t="shared" si="134"/>
        <v>3.07</v>
      </c>
      <c r="J120" s="50">
        <f t="shared" si="135"/>
        <v>1.49</v>
      </c>
      <c r="K120" s="50">
        <f t="shared" si="140"/>
        <v>3223.5</v>
      </c>
      <c r="L120" s="50">
        <f t="shared" si="141"/>
        <v>1564.5</v>
      </c>
      <c r="M120" s="214">
        <f t="shared" si="142"/>
        <v>4788</v>
      </c>
      <c r="N120" s="58">
        <f t="shared" si="143"/>
        <v>1.770266837777671E-2</v>
      </c>
      <c r="O120" s="62"/>
      <c r="P120" s="22"/>
      <c r="Q120" s="48"/>
      <c r="R120" s="48"/>
    </row>
    <row r="121" spans="1:18" s="251" customFormat="1" ht="26.25" thickBot="1">
      <c r="A121" s="224" t="s">
        <v>654</v>
      </c>
      <c r="B121" s="49" t="s">
        <v>471</v>
      </c>
      <c r="C121" s="49">
        <v>78</v>
      </c>
      <c r="D121" s="76" t="s">
        <v>630</v>
      </c>
      <c r="E121" s="49" t="s">
        <v>44</v>
      </c>
      <c r="F121" s="191">
        <v>5</v>
      </c>
      <c r="G121" s="52">
        <f>'Composições elétrica'!I$179</f>
        <v>37.26</v>
      </c>
      <c r="H121" s="52">
        <f>'Composições elétrica'!J$179</f>
        <v>4.5570199999999996</v>
      </c>
      <c r="I121" s="50">
        <f t="shared" si="134"/>
        <v>46.56</v>
      </c>
      <c r="J121" s="50">
        <f t="shared" si="135"/>
        <v>5.69</v>
      </c>
      <c r="K121" s="50">
        <f t="shared" si="140"/>
        <v>232.8</v>
      </c>
      <c r="L121" s="50">
        <f t="shared" si="141"/>
        <v>28.45</v>
      </c>
      <c r="M121" s="214">
        <f t="shared" si="142"/>
        <v>261.25</v>
      </c>
      <c r="N121" s="58">
        <f t="shared" si="143"/>
        <v>9.6591940553345142E-4</v>
      </c>
      <c r="O121" s="62"/>
      <c r="P121" s="22"/>
      <c r="Q121" s="48"/>
      <c r="R121" s="48"/>
    </row>
    <row r="122" spans="1:18" s="251" customFormat="1" ht="13.5" thickBot="1">
      <c r="A122" s="224" t="s">
        <v>655</v>
      </c>
      <c r="B122" s="49" t="s">
        <v>471</v>
      </c>
      <c r="C122" s="49">
        <v>91</v>
      </c>
      <c r="D122" s="76" t="s">
        <v>631</v>
      </c>
      <c r="E122" s="49" t="s">
        <v>44</v>
      </c>
      <c r="F122" s="191">
        <v>1</v>
      </c>
      <c r="G122" s="52">
        <f>'Composições elétrica'!I$192</f>
        <v>0</v>
      </c>
      <c r="H122" s="52">
        <f>'Composições elétrica'!J$192</f>
        <v>12.633848</v>
      </c>
      <c r="I122" s="50">
        <f t="shared" si="134"/>
        <v>0</v>
      </c>
      <c r="J122" s="50">
        <f t="shared" si="135"/>
        <v>15.79</v>
      </c>
      <c r="K122" s="50">
        <f t="shared" si="140"/>
        <v>0</v>
      </c>
      <c r="L122" s="50">
        <f t="shared" si="141"/>
        <v>15.79</v>
      </c>
      <c r="M122" s="214">
        <f t="shared" si="142"/>
        <v>15.79</v>
      </c>
      <c r="N122" s="58">
        <f t="shared" si="143"/>
        <v>5.8380353735399798E-5</v>
      </c>
      <c r="O122" s="62"/>
      <c r="P122" s="22"/>
      <c r="Q122" s="48"/>
      <c r="R122" s="48"/>
    </row>
    <row r="123" spans="1:18" s="251" customFormat="1" ht="26.25" thickBot="1">
      <c r="A123" s="224" t="s">
        <v>656</v>
      </c>
      <c r="B123" s="49" t="s">
        <v>471</v>
      </c>
      <c r="C123" s="49">
        <v>92</v>
      </c>
      <c r="D123" s="76" t="s">
        <v>632</v>
      </c>
      <c r="E123" s="49" t="s">
        <v>44</v>
      </c>
      <c r="F123" s="191">
        <v>6</v>
      </c>
      <c r="G123" s="52">
        <f>'Composições elétrica'!I$199</f>
        <v>2.58</v>
      </c>
      <c r="H123" s="52">
        <f>'Composições elétrica'!J$199</f>
        <v>6.8864859999999997</v>
      </c>
      <c r="I123" s="50">
        <f t="shared" si="134"/>
        <v>3.22</v>
      </c>
      <c r="J123" s="50">
        <f t="shared" si="135"/>
        <v>8.61</v>
      </c>
      <c r="K123" s="50">
        <f t="shared" si="140"/>
        <v>19.32</v>
      </c>
      <c r="L123" s="50">
        <f t="shared" si="141"/>
        <v>51.66</v>
      </c>
      <c r="M123" s="214">
        <f t="shared" si="142"/>
        <v>70.97999999999999</v>
      </c>
      <c r="N123" s="58">
        <f t="shared" si="143"/>
        <v>2.624342943723038E-4</v>
      </c>
      <c r="O123" s="62"/>
      <c r="P123" s="22"/>
      <c r="Q123" s="48"/>
      <c r="R123" s="48"/>
    </row>
    <row r="124" spans="1:18" s="251" customFormat="1" ht="26.25" thickBot="1">
      <c r="A124" s="224" t="s">
        <v>657</v>
      </c>
      <c r="B124" s="49" t="s">
        <v>471</v>
      </c>
      <c r="C124" s="49">
        <v>97</v>
      </c>
      <c r="D124" s="76" t="s">
        <v>597</v>
      </c>
      <c r="E124" s="49" t="s">
        <v>44</v>
      </c>
      <c r="F124" s="191">
        <v>10</v>
      </c>
      <c r="G124" s="52">
        <f>'Composições elétrica'!I$217</f>
        <v>24.1035</v>
      </c>
      <c r="H124" s="52">
        <f>'Composições elétrica'!J$217</f>
        <v>16.598400000000002</v>
      </c>
      <c r="I124" s="50">
        <f t="shared" si="134"/>
        <v>30.12</v>
      </c>
      <c r="J124" s="50">
        <f t="shared" si="135"/>
        <v>20.74</v>
      </c>
      <c r="K124" s="50">
        <f t="shared" si="140"/>
        <v>301.2</v>
      </c>
      <c r="L124" s="50">
        <f t="shared" si="141"/>
        <v>207.4</v>
      </c>
      <c r="M124" s="214">
        <f t="shared" si="142"/>
        <v>508.6</v>
      </c>
      <c r="N124" s="58">
        <f t="shared" si="143"/>
        <v>1.8804463527437834E-3</v>
      </c>
      <c r="O124" s="62"/>
      <c r="P124" s="22"/>
      <c r="Q124" s="48"/>
      <c r="R124" s="48"/>
    </row>
    <row r="125" spans="1:18" s="251" customFormat="1" ht="39" thickBot="1">
      <c r="A125" s="224" t="s">
        <v>658</v>
      </c>
      <c r="B125" s="49" t="s">
        <v>471</v>
      </c>
      <c r="C125" s="49">
        <v>101</v>
      </c>
      <c r="D125" s="76" t="s">
        <v>620</v>
      </c>
      <c r="E125" s="49" t="s">
        <v>75</v>
      </c>
      <c r="F125" s="191">
        <v>62</v>
      </c>
      <c r="G125" s="52">
        <f>'Composições elétrica'!I$231</f>
        <v>4.0476599999999996</v>
      </c>
      <c r="H125" s="52">
        <f>'Composições elétrica'!J$231</f>
        <v>7.248800000000001</v>
      </c>
      <c r="I125" s="50">
        <f t="shared" si="134"/>
        <v>5.0599999999999996</v>
      </c>
      <c r="J125" s="50">
        <f t="shared" si="135"/>
        <v>9.06</v>
      </c>
      <c r="K125" s="50">
        <f t="shared" si="140"/>
        <v>313.72000000000003</v>
      </c>
      <c r="L125" s="50">
        <f t="shared" si="141"/>
        <v>561.72</v>
      </c>
      <c r="M125" s="214">
        <f t="shared" si="142"/>
        <v>875.44</v>
      </c>
      <c r="N125" s="58">
        <f t="shared" si="143"/>
        <v>3.2367635765749463E-3</v>
      </c>
      <c r="O125" s="62"/>
      <c r="P125" s="22"/>
      <c r="Q125" s="48"/>
      <c r="R125" s="48"/>
    </row>
    <row r="126" spans="1:18" s="251" customFormat="1" ht="26.25" thickBot="1">
      <c r="A126" s="224" t="s">
        <v>660</v>
      </c>
      <c r="B126" s="49" t="s">
        <v>471</v>
      </c>
      <c r="C126" s="49">
        <v>105</v>
      </c>
      <c r="D126" s="76" t="s">
        <v>679</v>
      </c>
      <c r="E126" s="49" t="s">
        <v>44</v>
      </c>
      <c r="F126" s="191">
        <f>16+7</f>
        <v>23</v>
      </c>
      <c r="G126" s="52">
        <f>'Composições elétrica'!I$237</f>
        <v>5.7266950856591325</v>
      </c>
      <c r="H126" s="52">
        <f>'Composições elétrica'!J$237</f>
        <v>10.151399999999999</v>
      </c>
      <c r="I126" s="50">
        <f>ROUND(G126*(1+$G$3),2)</f>
        <v>7.16</v>
      </c>
      <c r="J126" s="50">
        <f>ROUND(H126*(1+$G$3),2)</f>
        <v>12.69</v>
      </c>
      <c r="K126" s="50">
        <f>ROUND(F126*I126,2)</f>
        <v>164.68</v>
      </c>
      <c r="L126" s="50">
        <f>ROUND(F126*J126,2)</f>
        <v>291.87</v>
      </c>
      <c r="M126" s="214">
        <f>K126+L126</f>
        <v>456.55</v>
      </c>
      <c r="N126" s="58">
        <f>IF(M126&gt;=0,M126/$N$5,"")</f>
        <v>1.6880019314690804E-3</v>
      </c>
      <c r="O126" s="62"/>
      <c r="P126" s="22"/>
      <c r="Q126" s="48"/>
      <c r="R126" s="48"/>
    </row>
    <row r="127" spans="1:18" s="251" customFormat="1" ht="13.5" thickBot="1">
      <c r="A127" s="224" t="s">
        <v>659</v>
      </c>
      <c r="B127" s="49" t="s">
        <v>471</v>
      </c>
      <c r="C127" s="49">
        <v>106</v>
      </c>
      <c r="D127" s="76" t="s">
        <v>676</v>
      </c>
      <c r="E127" s="49" t="s">
        <v>75</v>
      </c>
      <c r="F127" s="191">
        <v>71</v>
      </c>
      <c r="G127" s="52">
        <f>'Composições elétrica'!I$246</f>
        <v>16.34</v>
      </c>
      <c r="H127" s="52">
        <f>'Composições elétrica'!J$246</f>
        <v>13.305499999999999</v>
      </c>
      <c r="I127" s="50">
        <f t="shared" si="134"/>
        <v>20.420000000000002</v>
      </c>
      <c r="J127" s="50">
        <f t="shared" si="135"/>
        <v>16.63</v>
      </c>
      <c r="K127" s="50">
        <f t="shared" si="140"/>
        <v>1449.82</v>
      </c>
      <c r="L127" s="50">
        <f t="shared" si="141"/>
        <v>1180.73</v>
      </c>
      <c r="M127" s="214">
        <f t="shared" si="142"/>
        <v>2630.55</v>
      </c>
      <c r="N127" s="58">
        <f t="shared" si="143"/>
        <v>9.7259303051713715E-3</v>
      </c>
      <c r="O127" s="62"/>
      <c r="P127" s="22"/>
      <c r="Q127" s="48"/>
      <c r="R127" s="48"/>
    </row>
    <row r="128" spans="1:18" s="251" customFormat="1" ht="39" thickBot="1">
      <c r="A128" s="224" t="s">
        <v>661</v>
      </c>
      <c r="B128" s="49" t="s">
        <v>471</v>
      </c>
      <c r="C128" s="49">
        <v>108</v>
      </c>
      <c r="D128" s="76" t="s">
        <v>599</v>
      </c>
      <c r="E128" s="49" t="s">
        <v>75</v>
      </c>
      <c r="F128" s="191">
        <v>90</v>
      </c>
      <c r="G128" s="52">
        <f>'Composições elétrica'!I$258</f>
        <v>101.74066666666668</v>
      </c>
      <c r="H128" s="52">
        <f>'Composições elétrica'!J$258</f>
        <v>11.492000000000001</v>
      </c>
      <c r="I128" s="50">
        <f t="shared" si="134"/>
        <v>127.14</v>
      </c>
      <c r="J128" s="50">
        <f t="shared" si="135"/>
        <v>14.36</v>
      </c>
      <c r="K128" s="50">
        <f t="shared" si="140"/>
        <v>11442.6</v>
      </c>
      <c r="L128" s="50">
        <f t="shared" si="141"/>
        <v>1292.4000000000001</v>
      </c>
      <c r="M128" s="214">
        <f t="shared" si="142"/>
        <v>12735</v>
      </c>
      <c r="N128" s="58">
        <f t="shared" si="143"/>
        <v>4.7085104801793315E-2</v>
      </c>
      <c r="O128" s="62"/>
      <c r="P128" s="22"/>
      <c r="Q128" s="48"/>
      <c r="R128" s="48"/>
    </row>
    <row r="129" spans="1:18" s="251" customFormat="1" ht="26.25" thickBot="1">
      <c r="A129" s="224" t="s">
        <v>662</v>
      </c>
      <c r="B129" s="49" t="s">
        <v>471</v>
      </c>
      <c r="C129" s="49">
        <v>109</v>
      </c>
      <c r="D129" s="76" t="s">
        <v>600</v>
      </c>
      <c r="E129" s="49" t="s">
        <v>75</v>
      </c>
      <c r="F129" s="191">
        <v>20</v>
      </c>
      <c r="G129" s="52">
        <f>'Composições elétrica'!I$267</f>
        <v>7.49</v>
      </c>
      <c r="H129" s="52">
        <f>'Composições elétrica'!J$267</f>
        <v>1.7679999999999998</v>
      </c>
      <c r="I129" s="50">
        <f t="shared" si="134"/>
        <v>9.36</v>
      </c>
      <c r="J129" s="50">
        <f t="shared" si="135"/>
        <v>2.21</v>
      </c>
      <c r="K129" s="50">
        <f t="shared" si="140"/>
        <v>187.2</v>
      </c>
      <c r="L129" s="50">
        <f t="shared" si="141"/>
        <v>44.2</v>
      </c>
      <c r="M129" s="214">
        <f t="shared" si="142"/>
        <v>231.39999999999998</v>
      </c>
      <c r="N129" s="58">
        <f t="shared" si="143"/>
        <v>8.5555502560934215E-4</v>
      </c>
      <c r="O129" s="62"/>
      <c r="P129" s="22"/>
      <c r="Q129" s="48"/>
      <c r="R129" s="48"/>
    </row>
    <row r="130" spans="1:18" s="251" customFormat="1" ht="39" thickBot="1">
      <c r="A130" s="224" t="s">
        <v>663</v>
      </c>
      <c r="B130" s="49" t="s">
        <v>471</v>
      </c>
      <c r="C130" s="49">
        <v>110</v>
      </c>
      <c r="D130" s="76" t="s">
        <v>601</v>
      </c>
      <c r="E130" s="49" t="s">
        <v>44</v>
      </c>
      <c r="F130" s="191">
        <v>10</v>
      </c>
      <c r="G130" s="52">
        <f>'Composições elétrica'!I$273</f>
        <v>62.985602831175093</v>
      </c>
      <c r="H130" s="52">
        <f>'Composições elétrica'!J$273</f>
        <v>5.7460000000000004</v>
      </c>
      <c r="I130" s="50">
        <f t="shared" si="134"/>
        <v>78.709999999999994</v>
      </c>
      <c r="J130" s="50">
        <f t="shared" si="135"/>
        <v>7.18</v>
      </c>
      <c r="K130" s="50">
        <f t="shared" si="140"/>
        <v>787.1</v>
      </c>
      <c r="L130" s="50">
        <f t="shared" si="141"/>
        <v>71.8</v>
      </c>
      <c r="M130" s="214">
        <f t="shared" si="142"/>
        <v>858.9</v>
      </c>
      <c r="N130" s="58">
        <f t="shared" si="143"/>
        <v>3.175610248469594E-3</v>
      </c>
      <c r="O130" s="62"/>
      <c r="P130" s="22"/>
      <c r="Q130" s="48"/>
      <c r="R130" s="48"/>
    </row>
    <row r="131" spans="1:18" s="251" customFormat="1" ht="26.25" thickBot="1">
      <c r="A131" s="224" t="s">
        <v>664</v>
      </c>
      <c r="B131" s="49" t="s">
        <v>471</v>
      </c>
      <c r="C131" s="49">
        <v>111</v>
      </c>
      <c r="D131" s="76" t="s">
        <v>682</v>
      </c>
      <c r="E131" s="49" t="s">
        <v>44</v>
      </c>
      <c r="F131" s="191">
        <v>13</v>
      </c>
      <c r="G131" s="52">
        <f>'Composições elétrica'!I$279</f>
        <v>22.95</v>
      </c>
      <c r="H131" s="52">
        <f>'Composições elétrica'!J$279</f>
        <v>7.5140000000000011</v>
      </c>
      <c r="I131" s="50">
        <f t="shared" si="134"/>
        <v>28.68</v>
      </c>
      <c r="J131" s="50">
        <f t="shared" si="135"/>
        <v>9.39</v>
      </c>
      <c r="K131" s="50">
        <f t="shared" si="140"/>
        <v>372.84</v>
      </c>
      <c r="L131" s="50">
        <f t="shared" si="141"/>
        <v>122.07</v>
      </c>
      <c r="M131" s="214">
        <f t="shared" si="142"/>
        <v>494.90999999999997</v>
      </c>
      <c r="N131" s="58">
        <f t="shared" si="143"/>
        <v>1.8298303272442503E-3</v>
      </c>
      <c r="O131" s="62"/>
      <c r="P131" s="22"/>
      <c r="Q131" s="48"/>
      <c r="R131" s="48"/>
    </row>
    <row r="132" spans="1:18" s="251" customFormat="1" ht="26.25" thickBot="1">
      <c r="A132" s="224" t="s">
        <v>665</v>
      </c>
      <c r="B132" s="49" t="s">
        <v>471</v>
      </c>
      <c r="C132" s="49">
        <v>112</v>
      </c>
      <c r="D132" s="110" t="s">
        <v>683</v>
      </c>
      <c r="E132" s="49" t="s">
        <v>44</v>
      </c>
      <c r="F132" s="191">
        <v>5</v>
      </c>
      <c r="G132" s="52">
        <f>'Composições elétrica'!I$285</f>
        <v>22.95</v>
      </c>
      <c r="H132" s="52">
        <f>'Composições elétrica'!J$285</f>
        <v>7.5140000000000011</v>
      </c>
      <c r="I132" s="50">
        <f t="shared" si="134"/>
        <v>28.68</v>
      </c>
      <c r="J132" s="50">
        <f t="shared" si="135"/>
        <v>9.39</v>
      </c>
      <c r="K132" s="50">
        <f t="shared" si="140"/>
        <v>143.4</v>
      </c>
      <c r="L132" s="50">
        <f t="shared" si="141"/>
        <v>46.95</v>
      </c>
      <c r="M132" s="214">
        <f t="shared" si="142"/>
        <v>190.35000000000002</v>
      </c>
      <c r="N132" s="58">
        <f t="shared" si="143"/>
        <v>7.0378089509394253E-4</v>
      </c>
      <c r="O132" s="62"/>
      <c r="P132" s="22"/>
      <c r="Q132" s="48"/>
      <c r="R132" s="48"/>
    </row>
    <row r="133" spans="1:18" s="251" customFormat="1" ht="39" thickBot="1">
      <c r="A133" s="224" t="s">
        <v>666</v>
      </c>
      <c r="B133" s="49" t="s">
        <v>471</v>
      </c>
      <c r="C133" s="49">
        <v>114</v>
      </c>
      <c r="D133" s="76" t="s">
        <v>684</v>
      </c>
      <c r="E133" s="49" t="s">
        <v>44</v>
      </c>
      <c r="F133" s="191">
        <v>8</v>
      </c>
      <c r="G133" s="52">
        <f>'Composições elétrica'!I$297</f>
        <v>27.99</v>
      </c>
      <c r="H133" s="52">
        <f>'Composições elétrica'!J$297</f>
        <v>3.0940000000000003</v>
      </c>
      <c r="I133" s="50">
        <f t="shared" si="134"/>
        <v>34.979999999999997</v>
      </c>
      <c r="J133" s="50">
        <f t="shared" si="135"/>
        <v>3.87</v>
      </c>
      <c r="K133" s="50">
        <f t="shared" si="140"/>
        <v>279.83999999999997</v>
      </c>
      <c r="L133" s="50">
        <f t="shared" si="141"/>
        <v>30.96</v>
      </c>
      <c r="M133" s="214">
        <f t="shared" si="142"/>
        <v>310.79999999999995</v>
      </c>
      <c r="N133" s="58">
        <f t="shared" si="143"/>
        <v>1.1491205789083126E-3</v>
      </c>
      <c r="O133" s="62"/>
      <c r="P133" s="22"/>
      <c r="Q133" s="48"/>
      <c r="R133" s="48"/>
    </row>
    <row r="134" spans="1:18" s="113" customFormat="1" ht="13.5" thickBot="1">
      <c r="A134" s="224"/>
      <c r="B134" s="49"/>
      <c r="C134" s="49"/>
      <c r="D134" s="197"/>
      <c r="E134" s="49"/>
      <c r="F134" s="191"/>
      <c r="G134" s="52"/>
      <c r="H134" s="52"/>
      <c r="I134" s="52"/>
      <c r="J134" s="52"/>
      <c r="K134" s="50"/>
      <c r="L134" s="50"/>
      <c r="M134" s="214"/>
      <c r="N134" s="58"/>
      <c r="O134" s="62"/>
      <c r="P134" s="22"/>
      <c r="Q134" s="48"/>
      <c r="R134" s="48"/>
    </row>
    <row r="135" spans="1:18" s="113" customFormat="1" ht="15.75" customHeight="1" thickBot="1">
      <c r="A135" s="226" t="s">
        <v>344</v>
      </c>
      <c r="B135" s="112" t="s">
        <v>205</v>
      </c>
      <c r="C135" s="95"/>
      <c r="D135" s="96"/>
      <c r="E135" s="95"/>
      <c r="F135" s="193">
        <v>6</v>
      </c>
      <c r="G135" s="98"/>
      <c r="H135" s="98"/>
      <c r="I135" s="97"/>
      <c r="J135" s="97"/>
      <c r="K135" s="97"/>
      <c r="L135" s="97"/>
      <c r="M135" s="216">
        <f>SUBTOTAL(9,M137:M179)</f>
        <v>34910.469999999994</v>
      </c>
      <c r="N135" s="93">
        <f>SUBTOTAL(9,N137:N179)</f>
        <v>0.12907445140399385</v>
      </c>
      <c r="O135" s="62"/>
      <c r="P135" s="22"/>
      <c r="Q135" s="48"/>
      <c r="R135" s="48"/>
    </row>
    <row r="136" spans="1:18" s="113" customFormat="1" ht="13.5" thickBot="1">
      <c r="A136" s="224" t="s">
        <v>345</v>
      </c>
      <c r="B136" s="49"/>
      <c r="C136" s="49"/>
      <c r="D136" s="197" t="s">
        <v>99</v>
      </c>
      <c r="E136" s="49"/>
      <c r="F136" s="191"/>
      <c r="G136" s="52"/>
      <c r="H136" s="52"/>
      <c r="I136" s="52"/>
      <c r="J136" s="52"/>
      <c r="K136" s="50"/>
      <c r="L136" s="50"/>
      <c r="M136" s="214"/>
      <c r="N136" s="58"/>
      <c r="O136" s="62"/>
      <c r="P136" s="22"/>
      <c r="Q136" s="48"/>
      <c r="R136" s="48"/>
    </row>
    <row r="137" spans="1:18" s="113" customFormat="1" ht="26.25" thickBot="1">
      <c r="A137" s="224" t="s">
        <v>346</v>
      </c>
      <c r="B137" s="49" t="s">
        <v>30</v>
      </c>
      <c r="C137" s="49">
        <v>97638</v>
      </c>
      <c r="D137" s="76" t="str">
        <f>VLOOKUP(C137,'Fonte Cotação'!B:E,2,0)</f>
        <v>Remoção De Chapas E Perfis De Drywall, De Forma Manual, Sem Reaproveitamento. Af_12/2017</v>
      </c>
      <c r="E137" s="49" t="s">
        <v>71</v>
      </c>
      <c r="F137" s="191">
        <f>IFERROR(VLOOKUP(C137,LEVANTAMENTO!$C$11:$K$104,$F$135,0),"0")</f>
        <v>16.394000000000002</v>
      </c>
      <c r="G137" s="52">
        <f>VLOOKUP(C137,'Fonte Cotação'!B:E,3,0)</f>
        <v>1.6700000000000002</v>
      </c>
      <c r="H137" s="52">
        <f>VLOOKUP(C137,'Fonte Cotação'!B:E,4,0)</f>
        <v>4.51</v>
      </c>
      <c r="I137" s="50">
        <f t="shared" ref="I137:I138" si="144">ROUND(G137*(1+$G$3),2)</f>
        <v>2.09</v>
      </c>
      <c r="J137" s="50">
        <f t="shared" ref="J137:J138" si="145">ROUND(H137*(1+$G$3),2)</f>
        <v>5.64</v>
      </c>
      <c r="K137" s="50">
        <f t="shared" ref="K137:K138" si="146">ROUND(F137*I137,2)</f>
        <v>34.26</v>
      </c>
      <c r="L137" s="50">
        <f t="shared" ref="L137:L138" si="147">ROUND(F137*J137,2)</f>
        <v>92.46</v>
      </c>
      <c r="M137" s="214">
        <f t="shared" ref="M137:M138" si="148">K137+L137</f>
        <v>126.72</v>
      </c>
      <c r="N137" s="58">
        <f t="shared" ref="N137:N138" si="149">IF(M137&gt;=0,M137/$N$5,"")</f>
        <v>4.6852174954717304E-4</v>
      </c>
      <c r="O137" s="62"/>
      <c r="P137" s="22" t="str">
        <f>LEFT(A137,5)</f>
        <v>04.01</v>
      </c>
      <c r="Q137" s="48"/>
      <c r="R137" s="48"/>
    </row>
    <row r="138" spans="1:18" s="113" customFormat="1" ht="13.5" thickBot="1">
      <c r="A138" s="224" t="s">
        <v>347</v>
      </c>
      <c r="B138" s="49" t="s">
        <v>30</v>
      </c>
      <c r="C138" s="49">
        <v>97644</v>
      </c>
      <c r="D138" s="76" t="str">
        <f>VLOOKUP(C138,'Fonte Cotação'!B:E,2,0)</f>
        <v>Remoção De Portas, De Forma Manual, Sem Reaproveitamento. Af_12/2017</v>
      </c>
      <c r="E138" s="49" t="s">
        <v>104</v>
      </c>
      <c r="F138" s="191">
        <f>IFERROR(VLOOKUP(C138,LEVANTAMENTO!$C$11:$K$104,$F$135,0),"0")</f>
        <v>1.8900000000000001</v>
      </c>
      <c r="G138" s="52">
        <f>VLOOKUP(C138,'Fonte Cotação'!B:E,3,0)</f>
        <v>1.98</v>
      </c>
      <c r="H138" s="52">
        <f>VLOOKUP(C138,'Fonte Cotação'!B:E,4,0)</f>
        <v>5.01</v>
      </c>
      <c r="I138" s="50">
        <f t="shared" si="144"/>
        <v>2.4700000000000002</v>
      </c>
      <c r="J138" s="50">
        <f t="shared" si="145"/>
        <v>6.26</v>
      </c>
      <c r="K138" s="50">
        <f t="shared" si="146"/>
        <v>4.67</v>
      </c>
      <c r="L138" s="50">
        <f t="shared" si="147"/>
        <v>11.83</v>
      </c>
      <c r="M138" s="214">
        <f t="shared" si="148"/>
        <v>16.5</v>
      </c>
      <c r="N138" s="58">
        <f t="shared" si="149"/>
        <v>6.1005436138954829E-5</v>
      </c>
      <c r="O138" s="62"/>
      <c r="P138" s="22" t="str">
        <f>LEFT(A138,5)</f>
        <v>04.01</v>
      </c>
      <c r="Q138" s="48"/>
      <c r="R138" s="48"/>
    </row>
    <row r="139" spans="1:18" s="113" customFormat="1" ht="13.5" thickBot="1">
      <c r="A139" s="224" t="s">
        <v>348</v>
      </c>
      <c r="B139" s="49"/>
      <c r="C139" s="49"/>
      <c r="D139" s="197" t="s">
        <v>110</v>
      </c>
      <c r="E139" s="49"/>
      <c r="F139" s="191"/>
      <c r="G139" s="52"/>
      <c r="H139" s="52"/>
      <c r="I139" s="52"/>
      <c r="J139" s="52"/>
      <c r="K139" s="50"/>
      <c r="L139" s="50"/>
      <c r="M139" s="214"/>
      <c r="N139" s="58"/>
      <c r="O139" s="62"/>
      <c r="P139" s="22"/>
      <c r="Q139" s="48"/>
      <c r="R139" s="48"/>
    </row>
    <row r="140" spans="1:18" s="113" customFormat="1" ht="26.25" thickBot="1">
      <c r="A140" s="224" t="s">
        <v>349</v>
      </c>
      <c r="B140" s="49" t="s">
        <v>30</v>
      </c>
      <c r="C140" s="49">
        <v>96358</v>
      </c>
      <c r="D140" s="76" t="str">
        <f>VLOOKUP(C140,'Fonte Cotação'!B:E,2,0)</f>
        <v>Parede Com Placas De Gesso Acartonado (Drywall), Para Uso Interno, Com Duas Faces Simples E Estrutura Metálica Com Guias Simples, Sem Vãos. Af_06/2017_P</v>
      </c>
      <c r="E140" s="49" t="s">
        <v>71</v>
      </c>
      <c r="F140" s="191">
        <f>IFERROR(VLOOKUP(C140,LEVANTAMENTO!$C$11:$K$104,$F$135,0),"0")</f>
        <v>17.4072</v>
      </c>
      <c r="G140" s="52">
        <f>VLOOKUP(C140,'Fonte Cotação'!B:E,3,0)</f>
        <v>83.75</v>
      </c>
      <c r="H140" s="52">
        <f>VLOOKUP(C140,'Fonte Cotação'!B:E,4,0)</f>
        <v>9.59</v>
      </c>
      <c r="I140" s="50">
        <f t="shared" ref="I140:I143" si="150">ROUND(G140*(1+$G$3),2)</f>
        <v>104.66</v>
      </c>
      <c r="J140" s="50">
        <f t="shared" ref="J140:J143" si="151">ROUND(H140*(1+$G$3),2)</f>
        <v>11.98</v>
      </c>
      <c r="K140" s="50">
        <f t="shared" ref="K140:K143" si="152">ROUND(F140*I140,2)</f>
        <v>1821.84</v>
      </c>
      <c r="L140" s="50">
        <f t="shared" ref="L140:L143" si="153">ROUND(F140*J140,2)</f>
        <v>208.54</v>
      </c>
      <c r="M140" s="214">
        <f t="shared" ref="M140:M143" si="154">K140+L140</f>
        <v>2030.3799999999999</v>
      </c>
      <c r="N140" s="58">
        <f t="shared" ref="N140:N143" si="155">IF(M140&gt;=0,M140/$N$5,"")</f>
        <v>7.5069222683521878E-3</v>
      </c>
      <c r="O140" s="62"/>
      <c r="P140" s="22" t="str">
        <f>LEFT(A140,5)</f>
        <v>04.02</v>
      </c>
      <c r="Q140" s="48"/>
      <c r="R140" s="48"/>
    </row>
    <row r="141" spans="1:18" s="113" customFormat="1" ht="26.25" thickBot="1">
      <c r="A141" s="224" t="s">
        <v>350</v>
      </c>
      <c r="B141" s="49" t="s">
        <v>30</v>
      </c>
      <c r="C141" s="49">
        <v>96359</v>
      </c>
      <c r="D141" s="76" t="str">
        <f>VLOOKUP(C141,'Fonte Cotação'!B:E,2,0)</f>
        <v>Parede Com Placas De Gesso Acartonado (Drywall), Para Uso Interno, Com Duas Faces Simples E Estrutura Metálica Com Guias Simples, Com Vãos Af_06/2017_P</v>
      </c>
      <c r="E141" s="49" t="s">
        <v>71</v>
      </c>
      <c r="F141" s="191">
        <f>IFERROR(VLOOKUP(C141,LEVANTAMENTO!$C$11:$K$104,$F$135,0),"0")</f>
        <v>6.1908000000000003</v>
      </c>
      <c r="G141" s="52">
        <f>VLOOKUP(C141,'Fonte Cotação'!B:E,3,0)</f>
        <v>98.78</v>
      </c>
      <c r="H141" s="52">
        <f>VLOOKUP(C141,'Fonte Cotação'!B:E,4,0)</f>
        <v>11.05</v>
      </c>
      <c r="I141" s="50">
        <f t="shared" si="150"/>
        <v>123.44</v>
      </c>
      <c r="J141" s="50">
        <f t="shared" si="151"/>
        <v>13.81</v>
      </c>
      <c r="K141" s="50">
        <f t="shared" si="152"/>
        <v>764.19</v>
      </c>
      <c r="L141" s="50">
        <f t="shared" si="153"/>
        <v>85.49</v>
      </c>
      <c r="M141" s="214">
        <f t="shared" si="154"/>
        <v>849.68000000000006</v>
      </c>
      <c r="N141" s="58">
        <f t="shared" si="155"/>
        <v>3.141521150214978E-3</v>
      </c>
      <c r="O141" s="62"/>
      <c r="P141" s="22" t="str">
        <f>LEFT(A141,5)</f>
        <v>04.02</v>
      </c>
      <c r="Q141" s="48"/>
      <c r="R141" s="48"/>
    </row>
    <row r="142" spans="1:18" s="113" customFormat="1" ht="13.5" thickBot="1">
      <c r="A142" s="224" t="s">
        <v>351</v>
      </c>
      <c r="B142" s="49" t="s">
        <v>30</v>
      </c>
      <c r="C142" s="49">
        <v>96374</v>
      </c>
      <c r="D142" s="76" t="str">
        <f>VLOOKUP(C142,'Fonte Cotação'!B:E,2,0)</f>
        <v>Instalação De Reforço De Madeira Em Parede Drywall. Af_06/2017</v>
      </c>
      <c r="E142" s="49" t="s">
        <v>75</v>
      </c>
      <c r="F142" s="191">
        <f>IFERROR(VLOOKUP(C142,LEVANTAMENTO!$C$11:$K$104,$F$135,0),"0")</f>
        <v>8.76</v>
      </c>
      <c r="G142" s="52">
        <f>VLOOKUP(C142,'Fonte Cotação'!B:E,3,0)</f>
        <v>16.8</v>
      </c>
      <c r="H142" s="52">
        <f>VLOOKUP(C142,'Fonte Cotação'!B:E,4,0)</f>
        <v>1.47</v>
      </c>
      <c r="I142" s="50">
        <f t="shared" si="150"/>
        <v>20.99</v>
      </c>
      <c r="J142" s="50">
        <f t="shared" si="151"/>
        <v>1.84</v>
      </c>
      <c r="K142" s="50">
        <f t="shared" si="152"/>
        <v>183.87</v>
      </c>
      <c r="L142" s="50">
        <f t="shared" si="153"/>
        <v>16.12</v>
      </c>
      <c r="M142" s="214">
        <f t="shared" si="154"/>
        <v>199.99</v>
      </c>
      <c r="N142" s="58">
        <f t="shared" si="155"/>
        <v>7.3942285899573185E-4</v>
      </c>
      <c r="O142" s="62"/>
      <c r="P142" s="22" t="str">
        <f>LEFT(A142,5)</f>
        <v>04.02</v>
      </c>
      <c r="Q142" s="48"/>
      <c r="R142" s="48"/>
    </row>
    <row r="143" spans="1:18" s="113" customFormat="1" ht="13.5" thickBot="1">
      <c r="A143" s="224" t="s">
        <v>352</v>
      </c>
      <c r="B143" s="49" t="s">
        <v>30</v>
      </c>
      <c r="C143" s="49" t="s">
        <v>127</v>
      </c>
      <c r="D143" s="76" t="str">
        <f>VLOOKUP(C143,'Fonte Cotação'!B:E,2,0)</f>
        <v>Alcapao Em Ferro 60X60Cm, Incluso Ferragens</v>
      </c>
      <c r="E143" s="49" t="s">
        <v>44</v>
      </c>
      <c r="F143" s="191">
        <f>IFERROR(VLOOKUP(C143,LEVANTAMENTO!$C$11:$K$104,$F$135,0),"0")</f>
        <v>6</v>
      </c>
      <c r="G143" s="52">
        <f>VLOOKUP(C143,'Fonte Cotação'!B:E,3,0)</f>
        <v>107.78</v>
      </c>
      <c r="H143" s="52">
        <f>VLOOKUP(C143,'Fonte Cotação'!B:E,4,0)</f>
        <v>16.77</v>
      </c>
      <c r="I143" s="50">
        <f t="shared" si="150"/>
        <v>134.69</v>
      </c>
      <c r="J143" s="50">
        <f t="shared" si="151"/>
        <v>20.96</v>
      </c>
      <c r="K143" s="50">
        <f t="shared" si="152"/>
        <v>808.14</v>
      </c>
      <c r="L143" s="50">
        <f t="shared" si="153"/>
        <v>125.76</v>
      </c>
      <c r="M143" s="214">
        <f t="shared" si="154"/>
        <v>933.9</v>
      </c>
      <c r="N143" s="58">
        <f t="shared" si="155"/>
        <v>3.4529076854648432E-3</v>
      </c>
      <c r="O143" s="62"/>
      <c r="P143" s="22" t="str">
        <f>LEFT(A143,5)</f>
        <v>04.02</v>
      </c>
      <c r="Q143" s="48"/>
      <c r="R143" s="48"/>
    </row>
    <row r="144" spans="1:18" s="113" customFormat="1" ht="13.5" thickBot="1">
      <c r="A144" s="224" t="s">
        <v>353</v>
      </c>
      <c r="B144" s="49"/>
      <c r="C144" s="49"/>
      <c r="D144" s="197" t="s">
        <v>134</v>
      </c>
      <c r="E144" s="49"/>
      <c r="F144" s="191"/>
      <c r="G144" s="52"/>
      <c r="H144" s="52"/>
      <c r="I144" s="52"/>
      <c r="J144" s="52"/>
      <c r="K144" s="50"/>
      <c r="L144" s="50"/>
      <c r="M144" s="214"/>
      <c r="N144" s="58"/>
      <c r="O144" s="62"/>
      <c r="P144" s="22"/>
      <c r="Q144" s="48"/>
      <c r="R144" s="48"/>
    </row>
    <row r="145" spans="1:18" s="113" customFormat="1" ht="13.5" thickBot="1">
      <c r="A145" s="224" t="s">
        <v>354</v>
      </c>
      <c r="B145" s="49" t="s">
        <v>30</v>
      </c>
      <c r="C145" s="49">
        <v>88497</v>
      </c>
      <c r="D145" s="76" t="str">
        <f>VLOOKUP(C145,'Fonte Cotação'!B:E,2,0)</f>
        <v>Aplicação E Lixamento De Massa Látex Em Paredes, Duas Demãos. Af_06/2014</v>
      </c>
      <c r="E145" s="49" t="s">
        <v>71</v>
      </c>
      <c r="F145" s="191">
        <f>IFERROR(VLOOKUP(C145,LEVANTAMENTO!$C$11:$K$104,$F$135,0),"0")</f>
        <v>47.195999999999998</v>
      </c>
      <c r="G145" s="52">
        <f>VLOOKUP(C145,'Fonte Cotação'!B:E,3,0)</f>
        <v>7.0600000000000005</v>
      </c>
      <c r="H145" s="52">
        <f>VLOOKUP(C145,'Fonte Cotação'!B:E,4,0)</f>
        <v>5.95</v>
      </c>
      <c r="I145" s="50">
        <f t="shared" ref="I145:I147" si="156">ROUND(G145*(1+$G$3),2)</f>
        <v>8.82</v>
      </c>
      <c r="J145" s="50">
        <f t="shared" ref="J145:J147" si="157">ROUND(H145*(1+$G$3),2)</f>
        <v>7.44</v>
      </c>
      <c r="K145" s="50">
        <f t="shared" ref="K145:K147" si="158">ROUND(F145*I145,2)</f>
        <v>416.27</v>
      </c>
      <c r="L145" s="50">
        <f t="shared" ref="L145:L147" si="159">ROUND(F145*J145,2)</f>
        <v>351.14</v>
      </c>
      <c r="M145" s="214">
        <f t="shared" ref="M145:M147" si="160">K145+L145</f>
        <v>767.41</v>
      </c>
      <c r="N145" s="58">
        <f t="shared" ref="N145:N147" si="161">IF(M145&gt;=0,M145/$N$5,"")</f>
        <v>2.8373443483269891E-3</v>
      </c>
      <c r="O145" s="62"/>
      <c r="P145" s="22" t="str">
        <f>LEFT(A145,5)</f>
        <v>04.03</v>
      </c>
      <c r="Q145" s="48"/>
      <c r="R145" s="48"/>
    </row>
    <row r="146" spans="1:18" s="113" customFormat="1" ht="13.5" thickBot="1">
      <c r="A146" s="224" t="s">
        <v>355</v>
      </c>
      <c r="B146" s="49" t="s">
        <v>30</v>
      </c>
      <c r="C146" s="49">
        <v>88485</v>
      </c>
      <c r="D146" s="76" t="str">
        <f>VLOOKUP(C146,'Fonte Cotação'!B:E,2,0)</f>
        <v>Aplicação De Fundo Selador Acrílico Em Paredes, Uma Demão. Af_06/2014</v>
      </c>
      <c r="E146" s="49" t="s">
        <v>71</v>
      </c>
      <c r="F146" s="191">
        <f>IFERROR(VLOOKUP(C146,LEVANTAMENTO!$C$11:$K$104,$F$135,0),"0")</f>
        <v>47.195999999999998</v>
      </c>
      <c r="G146" s="52">
        <f>VLOOKUP(C146,'Fonte Cotação'!B:E,3,0)</f>
        <v>1.37</v>
      </c>
      <c r="H146" s="52">
        <f>VLOOKUP(C146,'Fonte Cotação'!B:E,4,0)</f>
        <v>0.74</v>
      </c>
      <c r="I146" s="50">
        <f t="shared" si="156"/>
        <v>1.71</v>
      </c>
      <c r="J146" s="50">
        <f t="shared" si="157"/>
        <v>0.92</v>
      </c>
      <c r="K146" s="50">
        <f t="shared" si="158"/>
        <v>80.709999999999994</v>
      </c>
      <c r="L146" s="50">
        <f t="shared" si="159"/>
        <v>43.42</v>
      </c>
      <c r="M146" s="214">
        <f t="shared" si="160"/>
        <v>124.13</v>
      </c>
      <c r="N146" s="58">
        <f t="shared" si="161"/>
        <v>4.5894574472293712E-4</v>
      </c>
      <c r="O146" s="62"/>
      <c r="P146" s="22" t="str">
        <f>LEFT(A146,5)</f>
        <v>04.03</v>
      </c>
      <c r="Q146" s="48"/>
      <c r="R146" s="48"/>
    </row>
    <row r="147" spans="1:18" s="113" customFormat="1" ht="26.25" thickBot="1">
      <c r="A147" s="224" t="s">
        <v>356</v>
      </c>
      <c r="B147" s="49" t="s">
        <v>30</v>
      </c>
      <c r="C147" s="49">
        <v>88489</v>
      </c>
      <c r="D147" s="76" t="str">
        <f>VLOOKUP(C147,'Fonte Cotação'!B:E,2,0)</f>
        <v>Aplicação Manual De Pintura Com Tinta Látex Acrílica Em Paredes, Duas Demãos. Af_06/2014</v>
      </c>
      <c r="E147" s="49" t="s">
        <v>71</v>
      </c>
      <c r="F147" s="191">
        <f>IFERROR(VLOOKUP(C147,LEVANTAMENTO!$C$11:$K$104,$F$135,0),"0")</f>
        <v>191.53800000000001</v>
      </c>
      <c r="G147" s="52">
        <f>VLOOKUP(C147,'Fonte Cotação'!B:E,3,0)</f>
        <v>10.09</v>
      </c>
      <c r="H147" s="52">
        <f>VLOOKUP(C147,'Fonte Cotação'!B:E,4,0)</f>
        <v>3.57</v>
      </c>
      <c r="I147" s="50">
        <f t="shared" si="156"/>
        <v>12.61</v>
      </c>
      <c r="J147" s="50">
        <f t="shared" si="157"/>
        <v>4.46</v>
      </c>
      <c r="K147" s="50">
        <f t="shared" si="158"/>
        <v>2415.29</v>
      </c>
      <c r="L147" s="50">
        <f t="shared" si="159"/>
        <v>854.26</v>
      </c>
      <c r="M147" s="214">
        <f t="shared" si="160"/>
        <v>3269.55</v>
      </c>
      <c r="N147" s="58">
        <f t="shared" si="161"/>
        <v>1.2088504468370894E-2</v>
      </c>
      <c r="O147" s="62"/>
      <c r="P147" s="22" t="str">
        <f>LEFT(A147,5)</f>
        <v>04.03</v>
      </c>
      <c r="Q147" s="48"/>
      <c r="R147" s="48"/>
    </row>
    <row r="148" spans="1:18" s="113" customFormat="1" ht="13.5" thickBot="1">
      <c r="A148" s="224" t="s">
        <v>357</v>
      </c>
      <c r="B148" s="49"/>
      <c r="C148" s="49"/>
      <c r="D148" s="197" t="s">
        <v>162</v>
      </c>
      <c r="E148" s="49"/>
      <c r="F148" s="191"/>
      <c r="G148" s="52"/>
      <c r="H148" s="52"/>
      <c r="I148" s="52"/>
      <c r="J148" s="52"/>
      <c r="K148" s="50"/>
      <c r="L148" s="50"/>
      <c r="M148" s="214"/>
      <c r="N148" s="58"/>
      <c r="O148" s="62"/>
      <c r="P148" s="22"/>
      <c r="Q148" s="48"/>
      <c r="R148" s="48"/>
    </row>
    <row r="149" spans="1:18" s="113" customFormat="1" ht="13.5" thickBot="1">
      <c r="A149" s="224" t="s">
        <v>358</v>
      </c>
      <c r="B149" s="49" t="s">
        <v>30</v>
      </c>
      <c r="C149" s="49">
        <v>99803</v>
      </c>
      <c r="D149" s="76" t="str">
        <f>VLOOKUP(C149,'Fonte Cotação'!B:E,2,0)</f>
        <v>Limpeza De Piso Cerâmico Ou Porcelanato Com Vassoura A Seco. Af_04/2019</v>
      </c>
      <c r="E149" s="49" t="s">
        <v>71</v>
      </c>
      <c r="F149" s="191">
        <f>IFERROR(VLOOKUP(C149,LEVANTAMENTO!$C$11:$K$104,$F$135,0),"0")</f>
        <v>0</v>
      </c>
      <c r="G149" s="52">
        <f>VLOOKUP(C149,'Fonte Cotação'!B:E,3,0)</f>
        <v>0.49</v>
      </c>
      <c r="H149" s="52">
        <f>VLOOKUP(C149,'Fonte Cotação'!B:E,4,0)</f>
        <v>1.1499999999999999</v>
      </c>
      <c r="I149" s="50">
        <f t="shared" ref="I149:I150" si="162">ROUND(G149*(1+$G$3),2)</f>
        <v>0.61</v>
      </c>
      <c r="J149" s="50">
        <f t="shared" ref="J149:J150" si="163">ROUND(H149*(1+$G$3),2)</f>
        <v>1.44</v>
      </c>
      <c r="K149" s="50">
        <f t="shared" ref="K149:K150" si="164">ROUND(F149*I149,2)</f>
        <v>0</v>
      </c>
      <c r="L149" s="50">
        <f t="shared" ref="L149:L150" si="165">ROUND(F149*J149,2)</f>
        <v>0</v>
      </c>
      <c r="M149" s="214">
        <f t="shared" ref="M149:M150" si="166">K149+L149</f>
        <v>0</v>
      </c>
      <c r="N149" s="58">
        <f t="shared" ref="N149:N150" si="167">IF(M149&gt;=0,M149/$N$5,"")</f>
        <v>0</v>
      </c>
      <c r="O149" s="62"/>
      <c r="P149" s="22" t="str">
        <f>LEFT(A149,5)</f>
        <v>04.04</v>
      </c>
      <c r="Q149" s="48"/>
      <c r="R149" s="48"/>
    </row>
    <row r="150" spans="1:18" s="113" customFormat="1" ht="13.5" thickBot="1">
      <c r="A150" s="224" t="s">
        <v>359</v>
      </c>
      <c r="B150" s="49" t="s">
        <v>30</v>
      </c>
      <c r="C150" s="49">
        <v>88037</v>
      </c>
      <c r="D150" s="76" t="str">
        <f>VLOOKUP(C150,'Fonte Cotação'!B:E,2,0)</f>
        <v>Transporte Horizontal, Massa/Granel, Jerica 90L, 50M. Af_06/2014</v>
      </c>
      <c r="E150" s="49" t="s">
        <v>167</v>
      </c>
      <c r="F150" s="191">
        <f>IFERROR(VLOOKUP(C150,LEVANTAMENTO!$C$11:$K$104,$F$135,0),"0")</f>
        <v>0.68599999999999994</v>
      </c>
      <c r="G150" s="52">
        <f>VLOOKUP(C150,'Fonte Cotação'!B:E,3,0)</f>
        <v>13.79</v>
      </c>
      <c r="H150" s="52">
        <f>VLOOKUP(C150,'Fonte Cotação'!B:E,4,0)</f>
        <v>27.32</v>
      </c>
      <c r="I150" s="50">
        <f t="shared" si="162"/>
        <v>17.23</v>
      </c>
      <c r="J150" s="50">
        <f t="shared" si="163"/>
        <v>34.14</v>
      </c>
      <c r="K150" s="50">
        <f t="shared" si="164"/>
        <v>11.82</v>
      </c>
      <c r="L150" s="50">
        <f t="shared" si="165"/>
        <v>23.42</v>
      </c>
      <c r="M150" s="214">
        <f t="shared" si="166"/>
        <v>35.24</v>
      </c>
      <c r="N150" s="58">
        <f t="shared" si="167"/>
        <v>1.3029282239616777E-4</v>
      </c>
      <c r="O150" s="62"/>
      <c r="P150" s="22" t="str">
        <f>LEFT(A150,5)</f>
        <v>04.04</v>
      </c>
      <c r="Q150" s="48"/>
      <c r="R150" s="48"/>
    </row>
    <row r="151" spans="1:18" s="113" customFormat="1" ht="13.5" thickBot="1">
      <c r="A151" s="224" t="s">
        <v>360</v>
      </c>
      <c r="B151" s="49"/>
      <c r="C151" s="49"/>
      <c r="D151" s="197" t="s">
        <v>175</v>
      </c>
      <c r="E151" s="49"/>
      <c r="F151" s="191"/>
      <c r="G151" s="52"/>
      <c r="H151" s="52"/>
      <c r="I151" s="52"/>
      <c r="J151" s="52"/>
      <c r="K151" s="50"/>
      <c r="L151" s="50"/>
      <c r="M151" s="214"/>
      <c r="N151" s="58"/>
      <c r="O151" s="62"/>
      <c r="P151" s="22"/>
      <c r="Q151" s="48"/>
      <c r="R151" s="48"/>
    </row>
    <row r="152" spans="1:18" s="113" customFormat="1" ht="63" customHeight="1" thickBot="1">
      <c r="A152" s="224" t="s">
        <v>361</v>
      </c>
      <c r="B152" s="49" t="s">
        <v>58</v>
      </c>
      <c r="C152" s="49" t="s">
        <v>220</v>
      </c>
      <c r="D152" s="76" t="str">
        <f>VLOOKUP(C152,'Fonte Cotação'!B:E,2,0)</f>
        <v>PM - 1'' - 1,22x2,10m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  <c r="E152" s="49" t="s">
        <v>171</v>
      </c>
      <c r="F152" s="191">
        <f>IFERROR(VLOOKUP(C152,LEVANTAMENTO!$C$11:$K$104,$F$135,0),"0")</f>
        <v>1</v>
      </c>
      <c r="G152" s="52">
        <f>VLOOKUP(C152,'Fonte Cotação'!B:E,3,0)</f>
        <v>2656</v>
      </c>
      <c r="H152" s="52">
        <f>VLOOKUP(C152,'Fonte Cotação'!B:E,4,0)</f>
        <v>744</v>
      </c>
      <c r="I152" s="50">
        <f t="shared" ref="I152" si="168">ROUND(G152*(1+$G$3),2)</f>
        <v>3319.17</v>
      </c>
      <c r="J152" s="50">
        <f t="shared" ref="J152" si="169">ROUND(H152*(1+$G$3),2)</f>
        <v>929.77</v>
      </c>
      <c r="K152" s="50">
        <f t="shared" ref="K152" si="170">ROUND(F152*I152,2)</f>
        <v>3319.17</v>
      </c>
      <c r="L152" s="50">
        <f t="shared" ref="L152" si="171">ROUND(F152*J152,2)</f>
        <v>929.77</v>
      </c>
      <c r="M152" s="214">
        <f t="shared" ref="M152" si="172">K152+L152</f>
        <v>4248.9400000000005</v>
      </c>
      <c r="N152" s="58">
        <f t="shared" ref="N152" si="173">IF(M152&gt;=0,M152/$N$5,"")</f>
        <v>1.5709602292621257E-2</v>
      </c>
      <c r="O152" s="62" t="s">
        <v>398</v>
      </c>
      <c r="P152" s="22" t="str">
        <f>LEFT(A152,5)</f>
        <v>04.05</v>
      </c>
      <c r="Q152" s="48"/>
      <c r="R152" s="48"/>
    </row>
    <row r="153" spans="1:18" s="113" customFormat="1" ht="13.5" thickBot="1">
      <c r="A153" s="224" t="s">
        <v>362</v>
      </c>
      <c r="B153" s="49"/>
      <c r="C153" s="49"/>
      <c r="D153" s="197" t="s">
        <v>180</v>
      </c>
      <c r="E153" s="49"/>
      <c r="F153" s="191"/>
      <c r="G153" s="52"/>
      <c r="H153" s="52"/>
      <c r="I153" s="52"/>
      <c r="J153" s="52"/>
      <c r="K153" s="50"/>
      <c r="L153" s="50"/>
      <c r="M153" s="214"/>
      <c r="N153" s="58"/>
      <c r="O153" s="62"/>
      <c r="P153" s="22"/>
      <c r="Q153" s="48"/>
      <c r="R153" s="48"/>
    </row>
    <row r="154" spans="1:18" s="113" customFormat="1" ht="39" thickBot="1">
      <c r="A154" s="224" t="s">
        <v>363</v>
      </c>
      <c r="B154" s="49" t="s">
        <v>274</v>
      </c>
      <c r="C154" s="49" t="s">
        <v>181</v>
      </c>
      <c r="D154" s="76" t="str">
        <f>VLOOKUP(C154,'Fonte Cotação'!B:E,2,0)</f>
        <v>Revestimento Cerâmico Para Piso Com Placas Tipo Porcelanato De Dimensões 60X60 Cm Aplicada Em Ambientes De Área Menor Que 5 M². Retificado Esmaltado Acetinado Com Rejunte Cinza. Referência Portinari Loft A</v>
      </c>
      <c r="E154" s="49" t="s">
        <v>71</v>
      </c>
      <c r="F154" s="191">
        <f>IFERROR(VLOOKUP(C154,LEVANTAMENTO!$C$11:$K$104,$F$135,0),"0")</f>
        <v>0.48</v>
      </c>
      <c r="G154" s="52">
        <f>VLOOKUP(C154,'Fonte Cotação'!B:E,3,0)</f>
        <v>97.67</v>
      </c>
      <c r="H154" s="52">
        <f>VLOOKUP(C154,'Fonte Cotação'!B:E,4,0)</f>
        <v>123.78</v>
      </c>
      <c r="I154" s="50">
        <f t="shared" ref="I154" si="174">ROUND(G154*(1+$G$3),2)</f>
        <v>122.06</v>
      </c>
      <c r="J154" s="50">
        <f t="shared" ref="J154" si="175">ROUND(H154*(1+$G$3),2)</f>
        <v>154.69</v>
      </c>
      <c r="K154" s="50">
        <f t="shared" ref="K154" si="176">ROUND(F154*I154,2)</f>
        <v>58.59</v>
      </c>
      <c r="L154" s="50">
        <f t="shared" ref="L154" si="177">ROUND(F154*J154,2)</f>
        <v>74.25</v>
      </c>
      <c r="M154" s="214">
        <f t="shared" ref="M154" si="178">K154+L154</f>
        <v>132.84</v>
      </c>
      <c r="N154" s="58">
        <f t="shared" ref="N154" si="179">IF(M154&gt;=0,M154/$N$5,"")</f>
        <v>4.9114922040598542E-4</v>
      </c>
      <c r="O154" s="62" t="s">
        <v>400</v>
      </c>
      <c r="P154" s="22" t="str">
        <f>LEFT(A154,5)</f>
        <v>04.06</v>
      </c>
      <c r="Q154" s="48"/>
      <c r="R154" s="48"/>
    </row>
    <row r="155" spans="1:18" s="113" customFormat="1" ht="13.5" thickBot="1">
      <c r="A155" s="224" t="s">
        <v>364</v>
      </c>
      <c r="B155" s="49"/>
      <c r="C155" s="49"/>
      <c r="D155" s="197" t="s">
        <v>412</v>
      </c>
      <c r="E155" s="49"/>
      <c r="F155" s="191"/>
      <c r="G155" s="52"/>
      <c r="H155" s="52"/>
      <c r="I155" s="52"/>
      <c r="J155" s="52"/>
      <c r="K155" s="50"/>
      <c r="L155" s="50"/>
      <c r="M155" s="214"/>
      <c r="N155" s="58"/>
      <c r="O155" s="62"/>
      <c r="P155" s="22"/>
      <c r="Q155" s="48"/>
      <c r="R155" s="48"/>
    </row>
    <row r="156" spans="1:18" s="113" customFormat="1" ht="26.25" thickBot="1">
      <c r="A156" s="224" t="s">
        <v>365</v>
      </c>
      <c r="B156" s="49" t="s">
        <v>58</v>
      </c>
      <c r="C156" s="49" t="s">
        <v>224</v>
      </c>
      <c r="D156" s="76" t="str">
        <f>VLOOKUP(C156,'Fonte Cotação'!B:E,2,0)</f>
        <v>Torneira Automática para Pia de Banheiro Bica Baixa Cromada Ref: Decamatic Eco Deca</v>
      </c>
      <c r="E156" s="49" t="s">
        <v>171</v>
      </c>
      <c r="F156" s="191">
        <f>IFERROR(VLOOKUP(C156,LEVANTAMENTO!$C$11:$K$104,$F$135,0),"0")</f>
        <v>1</v>
      </c>
      <c r="G156" s="52">
        <f>VLOOKUP(C156,'Fonte Cotação'!B:E,3,0)</f>
        <v>460</v>
      </c>
      <c r="H156" s="52">
        <f>VLOOKUP(C156,'Fonte Cotação'!B:E,4,0)</f>
        <v>50</v>
      </c>
      <c r="I156" s="50">
        <f t="shared" ref="I156:I157" si="180">ROUND(G156*(1+$G$3),2)</f>
        <v>574.86</v>
      </c>
      <c r="J156" s="50">
        <f t="shared" ref="J156:J157" si="181">ROUND(H156*(1+$G$3),2)</f>
        <v>62.48</v>
      </c>
      <c r="K156" s="50">
        <f t="shared" ref="K156:K157" si="182">ROUND(F156*I156,2)</f>
        <v>574.86</v>
      </c>
      <c r="L156" s="50">
        <f t="shared" ref="L156:L157" si="183">ROUND(F156*J156,2)</f>
        <v>62.48</v>
      </c>
      <c r="M156" s="214">
        <f t="shared" ref="M156:M157" si="184">K156+L156</f>
        <v>637.34</v>
      </c>
      <c r="N156" s="58">
        <f t="shared" ref="N156:N157" si="185">IF(M156&gt;=0,M156/$N$5,"")</f>
        <v>2.3564366465940287E-3</v>
      </c>
      <c r="O156" s="62"/>
      <c r="P156" s="22" t="str">
        <f>LEFT(A156,5)</f>
        <v>04.07</v>
      </c>
      <c r="Q156" s="48"/>
      <c r="R156" s="48"/>
    </row>
    <row r="157" spans="1:18" s="113" customFormat="1" ht="51.75" thickBot="1">
      <c r="A157" s="224" t="s">
        <v>366</v>
      </c>
      <c r="B157" s="49" t="s">
        <v>58</v>
      </c>
      <c r="C157" s="49" t="s">
        <v>229</v>
      </c>
      <c r="D157" s="76" t="str">
        <f>VLOOKUP(C157,'Fonte Cotação'!B:E,2,0)</f>
        <v>TI-01 - Tampo em Inox com Pia 1,60x0,60m, Espelho 14cm e saia 10cm: aço AISI304, liga 18.8, chapa e&gt;1mm, acabamento polido, com reforço, com rebaixo na área molhada. Cuba inox AISI304 40x34x21, ref: Tramontina Prime Retangula BL ou similar. Conforme projeto</v>
      </c>
      <c r="E157" s="49" t="s">
        <v>171</v>
      </c>
      <c r="F157" s="191">
        <f>IFERROR(VLOOKUP(C157,LEVANTAMENTO!$C$11:$K$104,$F$135,0),"0")</f>
        <v>1</v>
      </c>
      <c r="G157" s="52">
        <f>VLOOKUP(C157,'Fonte Cotação'!B:E,3,0)</f>
        <v>1908.3600000000001</v>
      </c>
      <c r="H157" s="52">
        <f>VLOOKUP(C157,'Fonte Cotação'!B:E,4,0)</f>
        <v>190.83600000000001</v>
      </c>
      <c r="I157" s="50">
        <f t="shared" si="180"/>
        <v>2384.85</v>
      </c>
      <c r="J157" s="50">
        <f t="shared" si="181"/>
        <v>238.49</v>
      </c>
      <c r="K157" s="50">
        <f t="shared" si="182"/>
        <v>2384.85</v>
      </c>
      <c r="L157" s="50">
        <f t="shared" si="183"/>
        <v>238.49</v>
      </c>
      <c r="M157" s="214">
        <f t="shared" si="184"/>
        <v>2623.34</v>
      </c>
      <c r="N157" s="58">
        <f t="shared" si="185"/>
        <v>9.6992727782282285E-3</v>
      </c>
      <c r="O157" s="62"/>
      <c r="P157" s="22" t="str">
        <f>LEFT(A157,5)</f>
        <v>04.07</v>
      </c>
      <c r="Q157" s="48"/>
      <c r="R157" s="48"/>
    </row>
    <row r="158" spans="1:18" s="251" customFormat="1" ht="13.5" thickBot="1">
      <c r="A158" s="224" t="s">
        <v>687</v>
      </c>
      <c r="B158" s="49"/>
      <c r="C158" s="49"/>
      <c r="D158" s="197" t="s">
        <v>706</v>
      </c>
      <c r="E158" s="49"/>
      <c r="F158" s="191"/>
      <c r="G158" s="52"/>
      <c r="H158" s="52"/>
      <c r="I158" s="50"/>
      <c r="J158" s="50"/>
      <c r="K158" s="50"/>
      <c r="L158" s="50"/>
      <c r="M158" s="214"/>
      <c r="N158" s="58"/>
      <c r="O158" s="62"/>
      <c r="P158" s="22"/>
      <c r="Q158" s="48"/>
      <c r="R158" s="48"/>
    </row>
    <row r="159" spans="1:18" s="251" customFormat="1" ht="26.25" thickBot="1">
      <c r="A159" s="224" t="s">
        <v>688</v>
      </c>
      <c r="B159" s="49" t="s">
        <v>471</v>
      </c>
      <c r="C159" s="49">
        <v>4</v>
      </c>
      <c r="D159" s="76" t="s">
        <v>473</v>
      </c>
      <c r="E159" s="49" t="s">
        <v>44</v>
      </c>
      <c r="F159" s="191">
        <f>0+1</f>
        <v>1</v>
      </c>
      <c r="G159" s="52">
        <f>'Composições elétrica'!I$49</f>
        <v>0</v>
      </c>
      <c r="H159" s="52">
        <f>'Composições elétrica'!J$49</f>
        <v>6.1880000000000006</v>
      </c>
      <c r="I159" s="50">
        <f t="shared" ref="I159:I171" si="186">ROUND(G159*(1+$G$3),2)</f>
        <v>0</v>
      </c>
      <c r="J159" s="50">
        <f t="shared" ref="J159:J171" si="187">ROUND(H159*(1+$G$3),2)</f>
        <v>7.73</v>
      </c>
      <c r="K159" s="50">
        <f t="shared" ref="K159:K171" si="188">ROUND(F159*I159,2)</f>
        <v>0</v>
      </c>
      <c r="L159" s="50">
        <f t="shared" ref="L159:L171" si="189">ROUND(F159*J159,2)</f>
        <v>7.73</v>
      </c>
      <c r="M159" s="214">
        <f t="shared" ref="M159:M171" si="190">K159+L159</f>
        <v>7.73</v>
      </c>
      <c r="N159" s="58">
        <f t="shared" ref="N159:N171" si="191">IF(M159&gt;=0,M159/$N$5,"")</f>
        <v>2.8580122506310354E-5</v>
      </c>
      <c r="O159" s="62"/>
      <c r="P159" s="22"/>
      <c r="Q159" s="48"/>
      <c r="R159" s="48"/>
    </row>
    <row r="160" spans="1:18" s="251" customFormat="1" ht="13.5" thickBot="1">
      <c r="A160" s="224" t="s">
        <v>689</v>
      </c>
      <c r="B160" s="49" t="s">
        <v>471</v>
      </c>
      <c r="C160" s="49">
        <v>6</v>
      </c>
      <c r="D160" s="76" t="s">
        <v>476</v>
      </c>
      <c r="E160" s="49" t="s">
        <v>44</v>
      </c>
      <c r="F160" s="191">
        <f>0+10</f>
        <v>10</v>
      </c>
      <c r="G160" s="52">
        <f>'Composições elétrica'!I$54</f>
        <v>0</v>
      </c>
      <c r="H160" s="52">
        <f>'Composições elétrica'!J$54</f>
        <v>8.84</v>
      </c>
      <c r="I160" s="50">
        <f t="shared" si="186"/>
        <v>0</v>
      </c>
      <c r="J160" s="50">
        <f t="shared" si="187"/>
        <v>11.05</v>
      </c>
      <c r="K160" s="50">
        <f t="shared" si="188"/>
        <v>0</v>
      </c>
      <c r="L160" s="50">
        <f t="shared" si="189"/>
        <v>110.5</v>
      </c>
      <c r="M160" s="214">
        <f t="shared" si="190"/>
        <v>110.5</v>
      </c>
      <c r="N160" s="58">
        <f t="shared" si="191"/>
        <v>4.085515571730005E-4</v>
      </c>
      <c r="O160" s="62"/>
      <c r="P160" s="22"/>
      <c r="Q160" s="48"/>
      <c r="R160" s="48"/>
    </row>
    <row r="161" spans="1:18" s="251" customFormat="1" ht="13.5" thickBot="1">
      <c r="A161" s="224" t="s">
        <v>690</v>
      </c>
      <c r="B161" s="49" t="s">
        <v>471</v>
      </c>
      <c r="C161" s="49">
        <v>13</v>
      </c>
      <c r="D161" s="76" t="s">
        <v>576</v>
      </c>
      <c r="E161" s="49" t="s">
        <v>75</v>
      </c>
      <c r="F161" s="191">
        <f>50+50</f>
        <v>100</v>
      </c>
      <c r="G161" s="52">
        <f>'Composições elétrica'!I$59</f>
        <v>2.7607999999999997</v>
      </c>
      <c r="H161" s="52">
        <f>'Composições elétrica'!J$59</f>
        <v>1.3516499999999998</v>
      </c>
      <c r="I161" s="50">
        <f t="shared" si="186"/>
        <v>3.45</v>
      </c>
      <c r="J161" s="50">
        <f t="shared" si="187"/>
        <v>1.69</v>
      </c>
      <c r="K161" s="50">
        <f t="shared" si="188"/>
        <v>345</v>
      </c>
      <c r="L161" s="50">
        <f t="shared" si="189"/>
        <v>169</v>
      </c>
      <c r="M161" s="214">
        <f t="shared" si="190"/>
        <v>514</v>
      </c>
      <c r="N161" s="58">
        <f t="shared" si="191"/>
        <v>1.9004117682074413E-3</v>
      </c>
      <c r="O161" s="62"/>
      <c r="P161" s="22"/>
      <c r="Q161" s="48"/>
      <c r="R161" s="48"/>
    </row>
    <row r="162" spans="1:18" s="251" customFormat="1" ht="13.5" thickBot="1">
      <c r="A162" s="224" t="s">
        <v>691</v>
      </c>
      <c r="B162" s="49" t="s">
        <v>471</v>
      </c>
      <c r="C162" s="49">
        <v>14</v>
      </c>
      <c r="D162" s="76" t="s">
        <v>582</v>
      </c>
      <c r="E162" s="49" t="s">
        <v>75</v>
      </c>
      <c r="F162" s="191">
        <f>100+300</f>
        <v>400</v>
      </c>
      <c r="G162" s="52">
        <f>'Composições elétrica'!I$66</f>
        <v>4.9504000000000001</v>
      </c>
      <c r="H162" s="52">
        <f>'Composições elétrica'!J$66</f>
        <v>1.79365</v>
      </c>
      <c r="I162" s="50">
        <f t="shared" si="186"/>
        <v>6.19</v>
      </c>
      <c r="J162" s="50">
        <f t="shared" si="187"/>
        <v>2.2400000000000002</v>
      </c>
      <c r="K162" s="50">
        <f t="shared" si="188"/>
        <v>2476</v>
      </c>
      <c r="L162" s="50">
        <f t="shared" si="189"/>
        <v>896</v>
      </c>
      <c r="M162" s="214">
        <f t="shared" si="190"/>
        <v>3372</v>
      </c>
      <c r="N162" s="58">
        <f t="shared" si="191"/>
        <v>1.2467292767306404E-2</v>
      </c>
      <c r="O162" s="62"/>
      <c r="P162" s="22"/>
      <c r="Q162" s="48"/>
      <c r="R162" s="48"/>
    </row>
    <row r="163" spans="1:18" s="252" customFormat="1" ht="13.5" thickBot="1">
      <c r="A163" s="224" t="s">
        <v>692</v>
      </c>
      <c r="B163" s="49" t="s">
        <v>471</v>
      </c>
      <c r="C163" s="49" t="s">
        <v>640</v>
      </c>
      <c r="D163" s="76" t="s">
        <v>624</v>
      </c>
      <c r="E163" s="49" t="s">
        <v>44</v>
      </c>
      <c r="F163" s="191">
        <v>4</v>
      </c>
      <c r="G163" s="52">
        <f>'Composições elétrica'!I$87</f>
        <v>2.5299999999999998</v>
      </c>
      <c r="H163" s="52">
        <f>'Composições elétrica'!J$87</f>
        <v>2.2177759999999997</v>
      </c>
      <c r="I163" s="50">
        <f t="shared" si="186"/>
        <v>3.16</v>
      </c>
      <c r="J163" s="50">
        <f t="shared" si="187"/>
        <v>2.77</v>
      </c>
      <c r="K163" s="50">
        <f t="shared" si="188"/>
        <v>12.64</v>
      </c>
      <c r="L163" s="50">
        <f t="shared" si="189"/>
        <v>11.08</v>
      </c>
      <c r="M163" s="214">
        <f t="shared" si="190"/>
        <v>23.72</v>
      </c>
      <c r="N163" s="58">
        <f t="shared" si="191"/>
        <v>8.7699936073697479E-5</v>
      </c>
      <c r="O163" s="62"/>
      <c r="P163" s="22"/>
      <c r="Q163" s="48"/>
      <c r="R163" s="48"/>
    </row>
    <row r="164" spans="1:18" s="252" customFormat="1" ht="26.25" thickBot="1">
      <c r="A164" s="224" t="s">
        <v>693</v>
      </c>
      <c r="B164" s="49" t="s">
        <v>471</v>
      </c>
      <c r="C164" s="49" t="s">
        <v>642</v>
      </c>
      <c r="D164" s="76" t="s">
        <v>625</v>
      </c>
      <c r="E164" s="49" t="s">
        <v>44</v>
      </c>
      <c r="F164" s="191">
        <v>5</v>
      </c>
      <c r="G164" s="52">
        <f>'Composições elétrica'!I$92</f>
        <v>16.59</v>
      </c>
      <c r="H164" s="52">
        <f>'Composições elétrica'!J$92</f>
        <v>13.512047999999998</v>
      </c>
      <c r="I164" s="50">
        <f t="shared" ref="I164" si="192">ROUND(G164*(1+$G$3),2)</f>
        <v>20.73</v>
      </c>
      <c r="J164" s="50">
        <f t="shared" ref="J164" si="193">ROUND(H164*(1+$G$3),2)</f>
        <v>16.89</v>
      </c>
      <c r="K164" s="50">
        <f t="shared" ref="K164" si="194">ROUND(F164*I164,2)</f>
        <v>103.65</v>
      </c>
      <c r="L164" s="50">
        <f t="shared" ref="L164" si="195">ROUND(F164*J164,2)</f>
        <v>84.45</v>
      </c>
      <c r="M164" s="214">
        <f t="shared" ref="M164" si="196">K164+L164</f>
        <v>188.10000000000002</v>
      </c>
      <c r="N164" s="58">
        <f t="shared" ref="N164" si="197">IF(M164&gt;=0,M164/$N$5,"")</f>
        <v>6.954619719840851E-4</v>
      </c>
      <c r="O164" s="62"/>
      <c r="P164" s="22"/>
      <c r="Q164" s="48"/>
      <c r="R164" s="48"/>
    </row>
    <row r="165" spans="1:18" s="251" customFormat="1" ht="26.25" thickBot="1">
      <c r="A165" s="224" t="s">
        <v>694</v>
      </c>
      <c r="B165" s="49" t="s">
        <v>471</v>
      </c>
      <c r="C165" s="49" t="s">
        <v>581</v>
      </c>
      <c r="D165" s="76" t="s">
        <v>586</v>
      </c>
      <c r="E165" s="49" t="s">
        <v>44</v>
      </c>
      <c r="F165" s="191">
        <f>9+5</f>
        <v>14</v>
      </c>
      <c r="G165" s="52">
        <f>'Composições elétrica'!I$98</f>
        <v>46.59</v>
      </c>
      <c r="H165" s="52">
        <f>'Composições elétrica'!J$98</f>
        <v>24.296847999999997</v>
      </c>
      <c r="I165" s="50">
        <f t="shared" si="186"/>
        <v>58.22</v>
      </c>
      <c r="J165" s="50">
        <f t="shared" si="187"/>
        <v>30.36</v>
      </c>
      <c r="K165" s="50">
        <f t="shared" si="188"/>
        <v>815.08</v>
      </c>
      <c r="L165" s="50">
        <f t="shared" si="189"/>
        <v>425.04</v>
      </c>
      <c r="M165" s="214">
        <f t="shared" si="190"/>
        <v>1240.1200000000001</v>
      </c>
      <c r="N165" s="58">
        <f t="shared" si="191"/>
        <v>4.5850946342206461E-3</v>
      </c>
      <c r="O165" s="62"/>
      <c r="P165" s="22"/>
      <c r="Q165" s="48"/>
      <c r="R165" s="48"/>
    </row>
    <row r="166" spans="1:18" s="251" customFormat="1" ht="26.25" thickBot="1">
      <c r="A166" s="224" t="s">
        <v>695</v>
      </c>
      <c r="B166" s="49" t="s">
        <v>471</v>
      </c>
      <c r="C166" s="49" t="s">
        <v>584</v>
      </c>
      <c r="D166" s="76" t="s">
        <v>588</v>
      </c>
      <c r="E166" s="49" t="s">
        <v>44</v>
      </c>
      <c r="F166" s="191">
        <f>9+3</f>
        <v>12</v>
      </c>
      <c r="G166" s="52">
        <f>'Composições elétrica'!I$105</f>
        <v>65.25</v>
      </c>
      <c r="H166" s="52">
        <f>'Composições elétrica'!J$105</f>
        <v>7.6510200000000008</v>
      </c>
      <c r="I166" s="50">
        <f t="shared" si="186"/>
        <v>81.540000000000006</v>
      </c>
      <c r="J166" s="50">
        <f t="shared" si="187"/>
        <v>9.56</v>
      </c>
      <c r="K166" s="50">
        <f t="shared" si="188"/>
        <v>978.48</v>
      </c>
      <c r="L166" s="50">
        <f t="shared" si="189"/>
        <v>114.72</v>
      </c>
      <c r="M166" s="214">
        <f t="shared" si="190"/>
        <v>1093.2</v>
      </c>
      <c r="N166" s="58">
        <f t="shared" si="191"/>
        <v>4.0418874416427528E-3</v>
      </c>
      <c r="O166" s="62"/>
      <c r="P166" s="22"/>
      <c r="Q166" s="48"/>
      <c r="R166" s="48"/>
    </row>
    <row r="167" spans="1:18" s="251" customFormat="1" ht="26.25" thickBot="1">
      <c r="A167" s="224" t="s">
        <v>696</v>
      </c>
      <c r="B167" s="49" t="s">
        <v>471</v>
      </c>
      <c r="C167" s="49">
        <v>34</v>
      </c>
      <c r="D167" s="76" t="s">
        <v>669</v>
      </c>
      <c r="E167" s="49" t="s">
        <v>44</v>
      </c>
      <c r="F167" s="191">
        <f>0+1</f>
        <v>1</v>
      </c>
      <c r="G167" s="52">
        <v>0</v>
      </c>
      <c r="H167" s="52">
        <f>'Composições elétrica'!J$119</f>
        <v>9.9450000000000003</v>
      </c>
      <c r="I167" s="50">
        <f t="shared" si="186"/>
        <v>0</v>
      </c>
      <c r="J167" s="50">
        <f t="shared" si="187"/>
        <v>12.43</v>
      </c>
      <c r="K167" s="50">
        <f t="shared" si="188"/>
        <v>0</v>
      </c>
      <c r="L167" s="50">
        <f t="shared" si="189"/>
        <v>12.43</v>
      </c>
      <c r="M167" s="214">
        <f t="shared" si="190"/>
        <v>12.43</v>
      </c>
      <c r="N167" s="58">
        <f t="shared" si="191"/>
        <v>4.5957428558012632E-5</v>
      </c>
      <c r="O167" s="62"/>
      <c r="P167" s="22"/>
      <c r="Q167" s="48"/>
      <c r="R167" s="48"/>
    </row>
    <row r="168" spans="1:18" s="251" customFormat="1" ht="26.25" thickBot="1">
      <c r="A168" s="224" t="s">
        <v>697</v>
      </c>
      <c r="B168" s="49" t="s">
        <v>471</v>
      </c>
      <c r="C168" s="49">
        <v>45</v>
      </c>
      <c r="D168" s="76" t="s">
        <v>628</v>
      </c>
      <c r="E168" s="49" t="s">
        <v>44</v>
      </c>
      <c r="F168" s="191">
        <f>4+16</f>
        <v>20</v>
      </c>
      <c r="G168" s="52">
        <f>'Composições elétrica'!I$148</f>
        <v>18.38</v>
      </c>
      <c r="H168" s="52">
        <f>'Composições elétrica'!J$148</f>
        <v>1.8998000000000002</v>
      </c>
      <c r="I168" s="50">
        <f t="shared" si="186"/>
        <v>22.97</v>
      </c>
      <c r="J168" s="50">
        <f t="shared" si="187"/>
        <v>2.37</v>
      </c>
      <c r="K168" s="50">
        <f t="shared" si="188"/>
        <v>459.4</v>
      </c>
      <c r="L168" s="50">
        <f t="shared" si="189"/>
        <v>47.4</v>
      </c>
      <c r="M168" s="214">
        <f t="shared" si="190"/>
        <v>506.79999999999995</v>
      </c>
      <c r="N168" s="58">
        <f t="shared" si="191"/>
        <v>1.8737912142558972E-3</v>
      </c>
      <c r="O168" s="62"/>
      <c r="P168" s="22"/>
      <c r="Q168" s="48"/>
      <c r="R168" s="48"/>
    </row>
    <row r="169" spans="1:18" s="251" customFormat="1" ht="26.25" thickBot="1">
      <c r="A169" s="224" t="s">
        <v>698</v>
      </c>
      <c r="B169" s="49" t="s">
        <v>471</v>
      </c>
      <c r="C169" s="49">
        <v>48</v>
      </c>
      <c r="D169" s="110" t="s">
        <v>595</v>
      </c>
      <c r="E169" s="49" t="s">
        <v>44</v>
      </c>
      <c r="F169" s="191">
        <f>2+8</f>
        <v>10</v>
      </c>
      <c r="G169" s="52">
        <f>'Composições elétrica'!I$160</f>
        <v>90.07</v>
      </c>
      <c r="H169" s="52">
        <f>'Composições elétrica'!J$160</f>
        <v>20.035210599999999</v>
      </c>
      <c r="I169" s="50">
        <f t="shared" si="186"/>
        <v>112.56</v>
      </c>
      <c r="J169" s="50">
        <f t="shared" si="187"/>
        <v>25.04</v>
      </c>
      <c r="K169" s="50">
        <f t="shared" si="188"/>
        <v>1125.5999999999999</v>
      </c>
      <c r="L169" s="50">
        <f t="shared" si="189"/>
        <v>250.4</v>
      </c>
      <c r="M169" s="214">
        <f t="shared" si="190"/>
        <v>1376</v>
      </c>
      <c r="N169" s="58">
        <f t="shared" si="191"/>
        <v>5.0874836440728387E-3</v>
      </c>
      <c r="O169" s="62"/>
      <c r="P169" s="22"/>
      <c r="Q169" s="48"/>
      <c r="R169" s="48"/>
    </row>
    <row r="170" spans="1:18" s="251" customFormat="1" ht="26.25" thickBot="1">
      <c r="A170" s="224" t="s">
        <v>699</v>
      </c>
      <c r="B170" s="49" t="s">
        <v>471</v>
      </c>
      <c r="C170" s="49">
        <v>77</v>
      </c>
      <c r="D170" s="76" t="s">
        <v>596</v>
      </c>
      <c r="E170" s="49" t="s">
        <v>75</v>
      </c>
      <c r="F170" s="191">
        <f>360+200</f>
        <v>560</v>
      </c>
      <c r="G170" s="52">
        <f>'Composições elétrica'!I$173</f>
        <v>2.4569999999999999</v>
      </c>
      <c r="H170" s="52">
        <f>'Composições elétrica'!J$173</f>
        <v>1.1889799999999999</v>
      </c>
      <c r="I170" s="50">
        <f t="shared" si="186"/>
        <v>3.07</v>
      </c>
      <c r="J170" s="50">
        <f t="shared" si="187"/>
        <v>1.49</v>
      </c>
      <c r="K170" s="50">
        <f t="shared" si="188"/>
        <v>1719.2</v>
      </c>
      <c r="L170" s="50">
        <f t="shared" si="189"/>
        <v>834.4</v>
      </c>
      <c r="M170" s="214">
        <f t="shared" si="190"/>
        <v>2553.6</v>
      </c>
      <c r="N170" s="58">
        <f t="shared" si="191"/>
        <v>9.441423134814244E-3</v>
      </c>
      <c r="O170" s="62"/>
      <c r="P170" s="22"/>
      <c r="Q170" s="48"/>
      <c r="R170" s="48"/>
    </row>
    <row r="171" spans="1:18" s="251" customFormat="1" ht="27.75" customHeight="1" thickBot="1">
      <c r="A171" s="224" t="s">
        <v>700</v>
      </c>
      <c r="B171" s="49" t="s">
        <v>471</v>
      </c>
      <c r="C171" s="49">
        <v>100</v>
      </c>
      <c r="D171" s="76" t="s">
        <v>598</v>
      </c>
      <c r="E171" s="49" t="s">
        <v>75</v>
      </c>
      <c r="F171" s="191">
        <f>10+6</f>
        <v>16</v>
      </c>
      <c r="G171" s="52">
        <f>'Composições elétrica'!I$225</f>
        <v>2.3594399999999998</v>
      </c>
      <c r="H171" s="52">
        <f>'Composições elétrica'!J$225</f>
        <v>6.3647999999999989</v>
      </c>
      <c r="I171" s="50">
        <f t="shared" si="186"/>
        <v>2.95</v>
      </c>
      <c r="J171" s="50">
        <f t="shared" si="187"/>
        <v>7.95</v>
      </c>
      <c r="K171" s="50">
        <f t="shared" si="188"/>
        <v>47.2</v>
      </c>
      <c r="L171" s="50">
        <f t="shared" si="189"/>
        <v>127.2</v>
      </c>
      <c r="M171" s="214">
        <f t="shared" si="190"/>
        <v>174.4</v>
      </c>
      <c r="N171" s="58">
        <f t="shared" si="191"/>
        <v>6.4480897349295289E-4</v>
      </c>
      <c r="O171" s="62"/>
      <c r="P171" s="22"/>
      <c r="Q171" s="48"/>
      <c r="R171" s="48"/>
    </row>
    <row r="172" spans="1:18" s="251" customFormat="1" ht="26.25" thickBot="1">
      <c r="A172" s="224" t="s">
        <v>701</v>
      </c>
      <c r="B172" s="49" t="s">
        <v>471</v>
      </c>
      <c r="C172" s="49">
        <v>105</v>
      </c>
      <c r="D172" s="76" t="s">
        <v>679</v>
      </c>
      <c r="E172" s="49" t="s">
        <v>44</v>
      </c>
      <c r="F172" s="191">
        <f>0+1</f>
        <v>1</v>
      </c>
      <c r="G172" s="52">
        <f>'Composições elétrica'!I$237</f>
        <v>5.7266950856591325</v>
      </c>
      <c r="H172" s="52">
        <f>'Composições elétrica'!J$237</f>
        <v>10.151399999999999</v>
      </c>
      <c r="I172" s="50">
        <f>ROUND(G172*(1+$G$3),2)</f>
        <v>7.16</v>
      </c>
      <c r="J172" s="50">
        <f>ROUND(H172*(1+$G$3),2)</f>
        <v>12.69</v>
      </c>
      <c r="K172" s="50">
        <f>ROUND(F172*I172,2)</f>
        <v>7.16</v>
      </c>
      <c r="L172" s="50">
        <f>ROUND(F172*J172,2)</f>
        <v>12.69</v>
      </c>
      <c r="M172" s="214">
        <f>K172+L172</f>
        <v>19.850000000000001</v>
      </c>
      <c r="N172" s="58">
        <f>IF(M172&gt;=0,M172/$N$5,"")</f>
        <v>7.3391388324742631E-5</v>
      </c>
      <c r="O172" s="62"/>
      <c r="P172" s="22"/>
      <c r="Q172" s="48"/>
      <c r="R172" s="48"/>
    </row>
    <row r="173" spans="1:18" s="251" customFormat="1" ht="13.5" thickBot="1">
      <c r="A173" s="224" t="s">
        <v>702</v>
      </c>
      <c r="B173" s="49" t="s">
        <v>471</v>
      </c>
      <c r="C173" s="49">
        <v>106</v>
      </c>
      <c r="D173" s="76" t="s">
        <v>676</v>
      </c>
      <c r="E173" s="49" t="s">
        <v>75</v>
      </c>
      <c r="F173" s="191">
        <f>0+4</f>
        <v>4</v>
      </c>
      <c r="G173" s="52">
        <f>'Composições elétrica'!I$246</f>
        <v>16.34</v>
      </c>
      <c r="H173" s="52">
        <f>'Composições elétrica'!J$246</f>
        <v>13.305499999999999</v>
      </c>
      <c r="I173" s="50">
        <f t="shared" ref="I173:I178" si="198">ROUND(G173*(1+$G$3),2)</f>
        <v>20.420000000000002</v>
      </c>
      <c r="J173" s="50">
        <f t="shared" ref="J173:J178" si="199">ROUND(H173*(1+$G$3),2)</f>
        <v>16.63</v>
      </c>
      <c r="K173" s="50">
        <f t="shared" ref="K173:K178" si="200">ROUND(F173*I173,2)</f>
        <v>81.680000000000007</v>
      </c>
      <c r="L173" s="50">
        <f t="shared" ref="L173:L178" si="201">ROUND(F173*J173,2)</f>
        <v>66.52</v>
      </c>
      <c r="M173" s="214">
        <f t="shared" ref="M173:M178" si="202">K173+L173</f>
        <v>148.19999999999999</v>
      </c>
      <c r="N173" s="58">
        <f t="shared" ref="N173:N178" si="203">IF(M173&gt;=0,M173/$N$5,"")</f>
        <v>5.4793973550261237E-4</v>
      </c>
      <c r="O173" s="62"/>
      <c r="P173" s="22"/>
      <c r="Q173" s="48"/>
      <c r="R173" s="48"/>
    </row>
    <row r="174" spans="1:18" s="251" customFormat="1" ht="39" thickBot="1">
      <c r="A174" s="224" t="s">
        <v>703</v>
      </c>
      <c r="B174" s="49" t="s">
        <v>471</v>
      </c>
      <c r="C174" s="49">
        <v>108</v>
      </c>
      <c r="D174" s="76" t="s">
        <v>599</v>
      </c>
      <c r="E174" s="49" t="s">
        <v>75</v>
      </c>
      <c r="F174" s="191">
        <f>20+30</f>
        <v>50</v>
      </c>
      <c r="G174" s="52">
        <f>'Composições elétrica'!I$258</f>
        <v>101.74066666666668</v>
      </c>
      <c r="H174" s="52">
        <f>'Composições elétrica'!J$258</f>
        <v>11.492000000000001</v>
      </c>
      <c r="I174" s="50">
        <f t="shared" si="198"/>
        <v>127.14</v>
      </c>
      <c r="J174" s="50">
        <f t="shared" si="199"/>
        <v>14.36</v>
      </c>
      <c r="K174" s="50">
        <f t="shared" si="200"/>
        <v>6357</v>
      </c>
      <c r="L174" s="50">
        <f t="shared" si="201"/>
        <v>718</v>
      </c>
      <c r="M174" s="214">
        <f t="shared" si="202"/>
        <v>7075</v>
      </c>
      <c r="N174" s="58">
        <f t="shared" si="203"/>
        <v>2.6158391556551842E-2</v>
      </c>
      <c r="O174" s="62"/>
      <c r="P174" s="22"/>
      <c r="Q174" s="48"/>
      <c r="R174" s="48"/>
    </row>
    <row r="175" spans="1:18" s="251" customFormat="1" ht="26.25" thickBot="1">
      <c r="A175" s="224" t="s">
        <v>704</v>
      </c>
      <c r="B175" s="49" t="s">
        <v>471</v>
      </c>
      <c r="C175" s="49">
        <v>109</v>
      </c>
      <c r="D175" s="76" t="s">
        <v>600</v>
      </c>
      <c r="E175" s="49" t="s">
        <v>75</v>
      </c>
      <c r="F175" s="191">
        <f>6+4</f>
        <v>10</v>
      </c>
      <c r="G175" s="52">
        <f>'Composições elétrica'!I$267</f>
        <v>7.49</v>
      </c>
      <c r="H175" s="52">
        <f>'Composições elétrica'!J$267</f>
        <v>1.7679999999999998</v>
      </c>
      <c r="I175" s="50">
        <f t="shared" si="198"/>
        <v>9.36</v>
      </c>
      <c r="J175" s="50">
        <f t="shared" si="199"/>
        <v>2.21</v>
      </c>
      <c r="K175" s="50">
        <f t="shared" si="200"/>
        <v>93.6</v>
      </c>
      <c r="L175" s="50">
        <f t="shared" si="201"/>
        <v>22.1</v>
      </c>
      <c r="M175" s="214">
        <f t="shared" si="202"/>
        <v>115.69999999999999</v>
      </c>
      <c r="N175" s="58">
        <f t="shared" si="203"/>
        <v>4.2777751280467108E-4</v>
      </c>
      <c r="O175" s="62"/>
      <c r="P175" s="22"/>
      <c r="Q175" s="48"/>
      <c r="R175" s="48"/>
    </row>
    <row r="176" spans="1:18" s="251" customFormat="1" ht="26.25" thickBot="1">
      <c r="A176" s="224" t="s">
        <v>773</v>
      </c>
      <c r="B176" s="49" t="s">
        <v>471</v>
      </c>
      <c r="C176" s="49">
        <v>112</v>
      </c>
      <c r="D176" s="110" t="s">
        <v>683</v>
      </c>
      <c r="E176" s="49" t="s">
        <v>44</v>
      </c>
      <c r="F176" s="191">
        <f>2+0</f>
        <v>2</v>
      </c>
      <c r="G176" s="52">
        <f>'Composições elétrica'!I$285</f>
        <v>22.95</v>
      </c>
      <c r="H176" s="52">
        <f>'Composições elétrica'!J$285</f>
        <v>7.5140000000000011</v>
      </c>
      <c r="I176" s="50">
        <f t="shared" si="198"/>
        <v>28.68</v>
      </c>
      <c r="J176" s="50">
        <f t="shared" si="199"/>
        <v>9.39</v>
      </c>
      <c r="K176" s="50">
        <f t="shared" si="200"/>
        <v>57.36</v>
      </c>
      <c r="L176" s="50">
        <f t="shared" si="201"/>
        <v>18.78</v>
      </c>
      <c r="M176" s="214">
        <f t="shared" si="202"/>
        <v>76.14</v>
      </c>
      <c r="N176" s="58">
        <f t="shared" si="203"/>
        <v>2.81512358037577E-4</v>
      </c>
      <c r="O176" s="62"/>
      <c r="P176" s="22"/>
      <c r="Q176" s="48"/>
      <c r="R176" s="48"/>
    </row>
    <row r="177" spans="1:18" s="251" customFormat="1" ht="26.25" thickBot="1">
      <c r="A177" s="224" t="s">
        <v>774</v>
      </c>
      <c r="B177" s="49" t="s">
        <v>471</v>
      </c>
      <c r="C177" s="49">
        <v>113</v>
      </c>
      <c r="D177" s="76" t="s">
        <v>602</v>
      </c>
      <c r="E177" s="49" t="s">
        <v>44</v>
      </c>
      <c r="F177" s="191">
        <f>1+0</f>
        <v>1</v>
      </c>
      <c r="G177" s="52">
        <f>'Composições elétrica'!I$291</f>
        <v>51.64</v>
      </c>
      <c r="H177" s="52">
        <f>'Composições elétrica'!J$291</f>
        <v>7.5140000000000011</v>
      </c>
      <c r="I177" s="50">
        <f t="shared" si="198"/>
        <v>64.53</v>
      </c>
      <c r="J177" s="50">
        <f t="shared" si="199"/>
        <v>9.39</v>
      </c>
      <c r="K177" s="50">
        <f t="shared" si="200"/>
        <v>64.53</v>
      </c>
      <c r="L177" s="50">
        <f t="shared" si="201"/>
        <v>9.39</v>
      </c>
      <c r="M177" s="214">
        <f t="shared" si="202"/>
        <v>73.92</v>
      </c>
      <c r="N177" s="58">
        <f t="shared" si="203"/>
        <v>2.7330435390251763E-4</v>
      </c>
      <c r="O177" s="62"/>
      <c r="P177" s="22"/>
      <c r="Q177" s="48"/>
      <c r="R177" s="48"/>
    </row>
    <row r="178" spans="1:18" s="252" customFormat="1" ht="39" thickBot="1">
      <c r="A178" s="224" t="s">
        <v>775</v>
      </c>
      <c r="B178" s="49" t="s">
        <v>471</v>
      </c>
      <c r="C178" s="49">
        <v>114</v>
      </c>
      <c r="D178" s="110" t="s">
        <v>684</v>
      </c>
      <c r="E178" s="49" t="s">
        <v>44</v>
      </c>
      <c r="F178" s="191">
        <f>0+6</f>
        <v>6</v>
      </c>
      <c r="G178" s="52">
        <f>'Composições elétrica'!I$297</f>
        <v>27.99</v>
      </c>
      <c r="H178" s="52">
        <f>'Composições elétrica'!J$297</f>
        <v>3.0940000000000003</v>
      </c>
      <c r="I178" s="50">
        <f t="shared" si="198"/>
        <v>34.979999999999997</v>
      </c>
      <c r="J178" s="50">
        <f t="shared" si="199"/>
        <v>3.87</v>
      </c>
      <c r="K178" s="50">
        <f t="shared" si="200"/>
        <v>209.88</v>
      </c>
      <c r="L178" s="50">
        <f t="shared" si="201"/>
        <v>23.22</v>
      </c>
      <c r="M178" s="214">
        <f t="shared" si="202"/>
        <v>233.1</v>
      </c>
      <c r="N178" s="58">
        <f t="shared" si="203"/>
        <v>8.6184043418123448E-4</v>
      </c>
      <c r="O178" s="62"/>
      <c r="P178" s="22"/>
      <c r="Q178" s="48"/>
      <c r="R178" s="48"/>
    </row>
    <row r="179" spans="1:18" s="113" customFormat="1" ht="13.5" thickBot="1">
      <c r="A179" s="224"/>
      <c r="B179" s="49"/>
      <c r="C179" s="49"/>
      <c r="D179" s="76"/>
      <c r="E179" s="49"/>
      <c r="F179" s="191"/>
      <c r="G179" s="52"/>
      <c r="H179" s="52"/>
      <c r="I179" s="52"/>
      <c r="J179" s="52"/>
      <c r="K179" s="50"/>
      <c r="L179" s="50"/>
      <c r="M179" s="214"/>
      <c r="N179" s="58"/>
      <c r="O179" s="62"/>
      <c r="P179" s="22"/>
      <c r="Q179" s="48"/>
      <c r="R179" s="48"/>
    </row>
    <row r="180" spans="1:18" s="113" customFormat="1" ht="15.75" customHeight="1" thickBot="1">
      <c r="A180" s="226" t="s">
        <v>367</v>
      </c>
      <c r="B180" s="112" t="s">
        <v>707</v>
      </c>
      <c r="C180" s="95"/>
      <c r="D180" s="96"/>
      <c r="E180" s="95"/>
      <c r="F180" s="193">
        <v>7</v>
      </c>
      <c r="G180" s="98"/>
      <c r="H180" s="98"/>
      <c r="I180" s="97"/>
      <c r="J180" s="97"/>
      <c r="K180" s="97"/>
      <c r="L180" s="97"/>
      <c r="M180" s="216">
        <f>SUBTOTAL(9,M182:M209)</f>
        <v>15905.77</v>
      </c>
      <c r="N180" s="93">
        <f>SUBTOTAL(9,N182:N209)</f>
        <v>5.8808390059145663E-2</v>
      </c>
      <c r="O180" s="62"/>
      <c r="P180" s="22"/>
      <c r="Q180" s="48"/>
      <c r="R180" s="48"/>
    </row>
    <row r="181" spans="1:18" s="113" customFormat="1" ht="13.5" thickBot="1">
      <c r="A181" s="224" t="s">
        <v>368</v>
      </c>
      <c r="B181" s="49"/>
      <c r="C181" s="49"/>
      <c r="D181" s="207" t="s">
        <v>99</v>
      </c>
      <c r="E181" s="49"/>
      <c r="F181" s="191"/>
      <c r="G181" s="52"/>
      <c r="H181" s="52"/>
      <c r="I181" s="52"/>
      <c r="J181" s="52"/>
      <c r="K181" s="50"/>
      <c r="L181" s="50"/>
      <c r="M181" s="214"/>
      <c r="N181" s="58"/>
      <c r="O181" s="62"/>
      <c r="P181" s="22"/>
      <c r="Q181" s="48"/>
      <c r="R181" s="48"/>
    </row>
    <row r="182" spans="1:18" s="113" customFormat="1" ht="26.25" thickBot="1">
      <c r="A182" s="224" t="s">
        <v>369</v>
      </c>
      <c r="B182" s="49" t="s">
        <v>30</v>
      </c>
      <c r="C182" s="49">
        <v>97638</v>
      </c>
      <c r="D182" s="76" t="str">
        <f>VLOOKUP(C182,'Fonte Cotação'!B:E,2,0)</f>
        <v>Remoção De Chapas E Perfis De Drywall, De Forma Manual, Sem Reaproveitamento. Af_12/2017</v>
      </c>
      <c r="E182" s="49" t="s">
        <v>71</v>
      </c>
      <c r="F182" s="191">
        <f>IFERROR(VLOOKUP(C182,LEVANTAMENTO!$C$11:$K$104,$F$180,0),"0")</f>
        <v>0.88000000000000012</v>
      </c>
      <c r="G182" s="52">
        <f>VLOOKUP(C182,'Fonte Cotação'!B:E,3,0)</f>
        <v>1.6700000000000002</v>
      </c>
      <c r="H182" s="52">
        <f>VLOOKUP(C182,'Fonte Cotação'!B:E,4,0)</f>
        <v>4.51</v>
      </c>
      <c r="I182" s="50">
        <f t="shared" ref="I182:I183" si="204">ROUND(G182*(1+$G$3),2)</f>
        <v>2.09</v>
      </c>
      <c r="J182" s="50">
        <f t="shared" ref="J182:J183" si="205">ROUND(H182*(1+$G$3),2)</f>
        <v>5.64</v>
      </c>
      <c r="K182" s="50">
        <f t="shared" ref="K182:K183" si="206">ROUND(F182*I182,2)</f>
        <v>1.84</v>
      </c>
      <c r="L182" s="50">
        <f t="shared" ref="L182:L183" si="207">ROUND(F182*J182,2)</f>
        <v>4.96</v>
      </c>
      <c r="M182" s="214">
        <f t="shared" ref="M182:M183" si="208">K182+L182</f>
        <v>6.8</v>
      </c>
      <c r="N182" s="58">
        <f t="shared" ref="N182:N183" si="209">IF(M182&gt;=0,M182/$N$5,"")</f>
        <v>2.5141634287569261E-5</v>
      </c>
      <c r="O182" s="62"/>
      <c r="P182" s="22" t="str">
        <f>LEFT(A182,5)</f>
        <v>05.01</v>
      </c>
      <c r="Q182" s="48"/>
      <c r="R182" s="48"/>
    </row>
    <row r="183" spans="1:18" s="113" customFormat="1" ht="13.5" thickBot="1">
      <c r="A183" s="224" t="s">
        <v>370</v>
      </c>
      <c r="B183" s="49" t="s">
        <v>30</v>
      </c>
      <c r="C183" s="49">
        <v>97644</v>
      </c>
      <c r="D183" s="76" t="str">
        <f>VLOOKUP(C183,'Fonte Cotação'!B:E,2,0)</f>
        <v>Remoção De Portas, De Forma Manual, Sem Reaproveitamento. Af_12/2017</v>
      </c>
      <c r="E183" s="49" t="s">
        <v>104</v>
      </c>
      <c r="F183" s="191">
        <f>IFERROR(VLOOKUP(C183,LEVANTAMENTO!$C$11:$K$104,$F$180,0),"0")</f>
        <v>1.8900000000000001</v>
      </c>
      <c r="G183" s="52">
        <f>VLOOKUP(C183,'Fonte Cotação'!B:E,3,0)</f>
        <v>1.98</v>
      </c>
      <c r="H183" s="52">
        <f>VLOOKUP(C183,'Fonte Cotação'!B:E,4,0)</f>
        <v>5.01</v>
      </c>
      <c r="I183" s="50">
        <f t="shared" si="204"/>
        <v>2.4700000000000002</v>
      </c>
      <c r="J183" s="50">
        <f t="shared" si="205"/>
        <v>6.26</v>
      </c>
      <c r="K183" s="50">
        <f t="shared" si="206"/>
        <v>4.67</v>
      </c>
      <c r="L183" s="50">
        <f t="shared" si="207"/>
        <v>11.83</v>
      </c>
      <c r="M183" s="214">
        <f t="shared" si="208"/>
        <v>16.5</v>
      </c>
      <c r="N183" s="58">
        <f t="shared" si="209"/>
        <v>6.1005436138954829E-5</v>
      </c>
      <c r="O183" s="62"/>
      <c r="P183" s="22" t="str">
        <f>LEFT(A183,5)</f>
        <v>05.01</v>
      </c>
      <c r="Q183" s="48"/>
      <c r="R183" s="48"/>
    </row>
    <row r="184" spans="1:18" s="113" customFormat="1" ht="13.5" thickBot="1">
      <c r="A184" s="224" t="s">
        <v>371</v>
      </c>
      <c r="B184" s="49"/>
      <c r="C184" s="49"/>
      <c r="D184" s="207" t="s">
        <v>110</v>
      </c>
      <c r="E184" s="49"/>
      <c r="F184" s="191"/>
      <c r="G184" s="52"/>
      <c r="H184" s="52"/>
      <c r="I184" s="52"/>
      <c r="J184" s="52"/>
      <c r="K184" s="50"/>
      <c r="L184" s="50"/>
      <c r="M184" s="214"/>
      <c r="N184" s="58"/>
      <c r="O184" s="62"/>
      <c r="P184" s="22"/>
      <c r="Q184" s="48"/>
      <c r="R184" s="48"/>
    </row>
    <row r="185" spans="1:18" s="113" customFormat="1" ht="13.5" thickBot="1">
      <c r="A185" s="224" t="s">
        <v>372</v>
      </c>
      <c r="B185" s="49" t="s">
        <v>30</v>
      </c>
      <c r="C185" s="49">
        <v>96374</v>
      </c>
      <c r="D185" s="76" t="str">
        <f>VLOOKUP(C185,'Fonte Cotação'!B:E,2,0)</f>
        <v>Instalação De Reforço De Madeira Em Parede Drywall. Af_06/2017</v>
      </c>
      <c r="E185" s="49" t="s">
        <v>75</v>
      </c>
      <c r="F185" s="191">
        <f>IFERROR(VLOOKUP(C185,LEVANTAMENTO!$C$11:$K$104,$F$180,0),"0")</f>
        <v>3.06</v>
      </c>
      <c r="G185" s="52">
        <f>VLOOKUP(C185,'Fonte Cotação'!B:E,3,0)</f>
        <v>16.8</v>
      </c>
      <c r="H185" s="52">
        <f>VLOOKUP(C185,'Fonte Cotação'!B:E,4,0)</f>
        <v>1.47</v>
      </c>
      <c r="I185" s="50">
        <f t="shared" ref="I185:I186" si="210">ROUND(G185*(1+$G$3),2)</f>
        <v>20.99</v>
      </c>
      <c r="J185" s="50">
        <f t="shared" ref="J185:J186" si="211">ROUND(H185*(1+$G$3),2)</f>
        <v>1.84</v>
      </c>
      <c r="K185" s="50">
        <f t="shared" ref="K185:K186" si="212">ROUND(F185*I185,2)</f>
        <v>64.23</v>
      </c>
      <c r="L185" s="50">
        <f t="shared" ref="L185:L186" si="213">ROUND(F185*J185,2)</f>
        <v>5.63</v>
      </c>
      <c r="M185" s="214">
        <f t="shared" ref="M185:M186" si="214">K185+L185</f>
        <v>69.86</v>
      </c>
      <c r="N185" s="58">
        <f t="shared" ref="N185:N186" si="215">IF(M185&gt;=0,M185/$N$5,"")</f>
        <v>2.5829331931317479E-4</v>
      </c>
      <c r="O185" s="62"/>
      <c r="P185" s="22" t="str">
        <f>LEFT(A185,5)</f>
        <v>05.02</v>
      </c>
      <c r="Q185" s="48"/>
      <c r="R185" s="48"/>
    </row>
    <row r="186" spans="1:18" s="113" customFormat="1" ht="13.5" thickBot="1">
      <c r="A186" s="224" t="s">
        <v>373</v>
      </c>
      <c r="B186" s="49" t="s">
        <v>30</v>
      </c>
      <c r="C186" s="49" t="s">
        <v>127</v>
      </c>
      <c r="D186" s="76" t="str">
        <f>VLOOKUP(C186,'Fonte Cotação'!B:E,2,0)</f>
        <v>Alcapao Em Ferro 60X60Cm, Incluso Ferragens</v>
      </c>
      <c r="E186" s="49" t="s">
        <v>44</v>
      </c>
      <c r="F186" s="191">
        <f>IFERROR(VLOOKUP(C186,LEVANTAMENTO!$C$11:$K$104,$F$180,0),"0")</f>
        <v>6</v>
      </c>
      <c r="G186" s="52">
        <f>VLOOKUP(C186,'Fonte Cotação'!B:E,3,0)</f>
        <v>107.78</v>
      </c>
      <c r="H186" s="52">
        <f>VLOOKUP(C186,'Fonte Cotação'!B:E,4,0)</f>
        <v>16.77</v>
      </c>
      <c r="I186" s="50">
        <f t="shared" si="210"/>
        <v>134.69</v>
      </c>
      <c r="J186" s="50">
        <f t="shared" si="211"/>
        <v>20.96</v>
      </c>
      <c r="K186" s="50">
        <f t="shared" si="212"/>
        <v>808.14</v>
      </c>
      <c r="L186" s="50">
        <f t="shared" si="213"/>
        <v>125.76</v>
      </c>
      <c r="M186" s="214">
        <f t="shared" si="214"/>
        <v>933.9</v>
      </c>
      <c r="N186" s="58">
        <f t="shared" si="215"/>
        <v>3.4529076854648432E-3</v>
      </c>
      <c r="O186" s="62"/>
      <c r="P186" s="22" t="str">
        <f>LEFT(A186,5)</f>
        <v>05.02</v>
      </c>
      <c r="Q186" s="48"/>
      <c r="R186" s="48"/>
    </row>
    <row r="187" spans="1:18" s="113" customFormat="1" ht="13.5" thickBot="1">
      <c r="A187" s="224" t="s">
        <v>374</v>
      </c>
      <c r="B187" s="49"/>
      <c r="C187" s="49"/>
      <c r="D187" s="76" t="s">
        <v>134</v>
      </c>
      <c r="E187" s="49"/>
      <c r="F187" s="191"/>
      <c r="G187" s="52"/>
      <c r="H187" s="52"/>
      <c r="I187" s="52"/>
      <c r="J187" s="52"/>
      <c r="K187" s="50"/>
      <c r="L187" s="50"/>
      <c r="M187" s="214"/>
      <c r="N187" s="58"/>
      <c r="O187" s="62"/>
      <c r="P187" s="22"/>
      <c r="Q187" s="48"/>
      <c r="R187" s="48"/>
    </row>
    <row r="188" spans="1:18" s="113" customFormat="1" ht="26.25" thickBot="1">
      <c r="A188" s="224" t="s">
        <v>375</v>
      </c>
      <c r="B188" s="49" t="s">
        <v>30</v>
      </c>
      <c r="C188" s="49">
        <v>88489</v>
      </c>
      <c r="D188" s="76" t="str">
        <f>VLOOKUP(C188,'Fonte Cotação'!B:E,2,0)</f>
        <v>Aplicação Manual De Pintura Com Tinta Látex Acrílica Em Paredes, Duas Demãos. Af_06/2014</v>
      </c>
      <c r="E188" s="49" t="s">
        <v>71</v>
      </c>
      <c r="F188" s="191">
        <f>IFERROR(VLOOKUP(C188,LEVANTAMENTO!$C$11:$K$104,$F$180,0),"0")</f>
        <v>30.954000000000004</v>
      </c>
      <c r="G188" s="52">
        <f>VLOOKUP(C188,'Fonte Cotação'!B:E,3,0)</f>
        <v>10.09</v>
      </c>
      <c r="H188" s="52">
        <f>VLOOKUP(C188,'Fonte Cotação'!B:E,4,0)</f>
        <v>3.57</v>
      </c>
      <c r="I188" s="50">
        <f t="shared" ref="I188" si="216">ROUND(G188*(1+$G$3),2)</f>
        <v>12.61</v>
      </c>
      <c r="J188" s="50">
        <f t="shared" ref="J188" si="217">ROUND(H188*(1+$G$3),2)</f>
        <v>4.46</v>
      </c>
      <c r="K188" s="50">
        <f t="shared" ref="K188" si="218">ROUND(F188*I188,2)</f>
        <v>390.33</v>
      </c>
      <c r="L188" s="50">
        <f t="shared" ref="L188" si="219">ROUND(F188*J188,2)</f>
        <v>138.05000000000001</v>
      </c>
      <c r="M188" s="214">
        <f t="shared" ref="M188" si="220">K188+L188</f>
        <v>528.38</v>
      </c>
      <c r="N188" s="58">
        <f t="shared" ref="N188" si="221">IF(M188&gt;=0,M188/$N$5,"")</f>
        <v>1.9535789301273303E-3</v>
      </c>
      <c r="O188" s="62"/>
      <c r="P188" s="22" t="str">
        <f>LEFT(A188,5)</f>
        <v>05.03</v>
      </c>
      <c r="Q188" s="48"/>
      <c r="R188" s="48"/>
    </row>
    <row r="189" spans="1:18" s="113" customFormat="1" ht="13.5" thickBot="1">
      <c r="A189" s="224" t="s">
        <v>376</v>
      </c>
      <c r="B189" s="49"/>
      <c r="C189" s="49"/>
      <c r="D189" s="207" t="s">
        <v>162</v>
      </c>
      <c r="E189" s="49"/>
      <c r="F189" s="191"/>
      <c r="G189" s="52"/>
      <c r="H189" s="52"/>
      <c r="I189" s="52"/>
      <c r="J189" s="52"/>
      <c r="K189" s="50"/>
      <c r="L189" s="50"/>
      <c r="M189" s="214"/>
      <c r="N189" s="58"/>
      <c r="O189" s="62"/>
      <c r="P189" s="22"/>
      <c r="Q189" s="48"/>
      <c r="R189" s="48"/>
    </row>
    <row r="190" spans="1:18" s="113" customFormat="1" ht="13.5" thickBot="1">
      <c r="A190" s="224" t="s">
        <v>377</v>
      </c>
      <c r="B190" s="49" t="s">
        <v>30</v>
      </c>
      <c r="C190" s="49">
        <v>99803</v>
      </c>
      <c r="D190" s="76" t="str">
        <f>VLOOKUP(C190,'Fonte Cotação'!B:E,2,0)</f>
        <v>Limpeza De Piso Cerâmico Ou Porcelanato Com Vassoura A Seco. Af_04/2019</v>
      </c>
      <c r="E190" s="49" t="s">
        <v>71</v>
      </c>
      <c r="F190" s="191">
        <f>IFERROR(VLOOKUP(C190,LEVANTAMENTO!$C$11:$K$104,$F$180,0),"0")</f>
        <v>0</v>
      </c>
      <c r="G190" s="52">
        <f>VLOOKUP(C190,'Fonte Cotação'!B:E,3,0)</f>
        <v>0.49</v>
      </c>
      <c r="H190" s="52">
        <f>VLOOKUP(C190,'Fonte Cotação'!B:E,4,0)</f>
        <v>1.1499999999999999</v>
      </c>
      <c r="I190" s="50">
        <f t="shared" ref="I190:I191" si="222">ROUND(G190*(1+$G$3),2)</f>
        <v>0.61</v>
      </c>
      <c r="J190" s="50">
        <f t="shared" ref="J190:J191" si="223">ROUND(H190*(1+$G$3),2)</f>
        <v>1.44</v>
      </c>
      <c r="K190" s="50">
        <f t="shared" ref="K190:K191" si="224">ROUND(F190*I190,2)</f>
        <v>0</v>
      </c>
      <c r="L190" s="50">
        <f t="shared" ref="L190:L191" si="225">ROUND(F190*J190,2)</f>
        <v>0</v>
      </c>
      <c r="M190" s="214">
        <f t="shared" ref="M190:M191" si="226">K190+L190</f>
        <v>0</v>
      </c>
      <c r="N190" s="58">
        <f t="shared" ref="N190:N191" si="227">IF(M190&gt;=0,M190/$N$5,"")</f>
        <v>0</v>
      </c>
      <c r="O190" s="62"/>
      <c r="P190" s="22" t="str">
        <f>LEFT(A190,5)</f>
        <v>05.04</v>
      </c>
      <c r="Q190" s="48"/>
      <c r="R190" s="48"/>
    </row>
    <row r="191" spans="1:18" s="113" customFormat="1" ht="13.5" thickBot="1">
      <c r="A191" s="224" t="s">
        <v>378</v>
      </c>
      <c r="B191" s="49" t="s">
        <v>30</v>
      </c>
      <c r="C191" s="49">
        <v>88037</v>
      </c>
      <c r="D191" s="76" t="str">
        <f>VLOOKUP(C191,'Fonte Cotação'!B:E,2,0)</f>
        <v>Transporte Horizontal, Massa/Granel, Jerica 90L, 50M. Af_06/2014</v>
      </c>
      <c r="E191" s="49" t="s">
        <v>167</v>
      </c>
      <c r="F191" s="191">
        <f>IFERROR(VLOOKUP(C191,LEVANTAMENTO!$C$11:$K$104,$F$180,0),"0")</f>
        <v>0.24300000000000002</v>
      </c>
      <c r="G191" s="52">
        <f>VLOOKUP(C191,'Fonte Cotação'!B:E,3,0)</f>
        <v>13.79</v>
      </c>
      <c r="H191" s="52">
        <f>VLOOKUP(C191,'Fonte Cotação'!B:E,4,0)</f>
        <v>27.32</v>
      </c>
      <c r="I191" s="50">
        <f t="shared" si="222"/>
        <v>17.23</v>
      </c>
      <c r="J191" s="50">
        <f t="shared" si="223"/>
        <v>34.14</v>
      </c>
      <c r="K191" s="50">
        <f t="shared" si="224"/>
        <v>4.1900000000000004</v>
      </c>
      <c r="L191" s="50">
        <f t="shared" si="225"/>
        <v>8.3000000000000007</v>
      </c>
      <c r="M191" s="214">
        <f t="shared" si="226"/>
        <v>12.490000000000002</v>
      </c>
      <c r="N191" s="58">
        <f t="shared" si="227"/>
        <v>4.6179266507608841E-5</v>
      </c>
      <c r="O191" s="62"/>
      <c r="P191" s="22" t="str">
        <f>LEFT(A191,5)</f>
        <v>05.04</v>
      </c>
      <c r="Q191" s="48"/>
      <c r="R191" s="48"/>
    </row>
    <row r="192" spans="1:18" s="251" customFormat="1" ht="13.5" thickBot="1">
      <c r="A192" s="224" t="s">
        <v>708</v>
      </c>
      <c r="B192" s="49"/>
      <c r="C192" s="49"/>
      <c r="D192" s="197" t="s">
        <v>706</v>
      </c>
      <c r="E192" s="49"/>
      <c r="F192" s="191"/>
      <c r="G192" s="52"/>
      <c r="H192" s="52"/>
      <c r="I192" s="50"/>
      <c r="J192" s="50"/>
      <c r="K192" s="50"/>
      <c r="L192" s="50"/>
      <c r="M192" s="214"/>
      <c r="N192" s="58"/>
      <c r="O192" s="62"/>
      <c r="P192" s="22"/>
      <c r="Q192" s="48"/>
      <c r="R192" s="48"/>
    </row>
    <row r="193" spans="1:18" s="251" customFormat="1" ht="13.5" thickBot="1">
      <c r="A193" s="224" t="s">
        <v>709</v>
      </c>
      <c r="B193" s="49" t="s">
        <v>471</v>
      </c>
      <c r="C193" s="49">
        <v>6</v>
      </c>
      <c r="D193" s="76" t="s">
        <v>476</v>
      </c>
      <c r="E193" s="49" t="s">
        <v>44</v>
      </c>
      <c r="F193" s="191">
        <v>12</v>
      </c>
      <c r="G193" s="52">
        <f>'Composições elétrica'!I$54</f>
        <v>0</v>
      </c>
      <c r="H193" s="52">
        <f>'Composições elétrica'!J$54</f>
        <v>8.84</v>
      </c>
      <c r="I193" s="50">
        <f t="shared" ref="I193" si="228">ROUND(G193*(1+$G$3),2)</f>
        <v>0</v>
      </c>
      <c r="J193" s="50">
        <f t="shared" ref="J193" si="229">ROUND(H193*(1+$G$3),2)</f>
        <v>11.05</v>
      </c>
      <c r="K193" s="50">
        <f t="shared" ref="K193" si="230">ROUND(F193*I193,2)</f>
        <v>0</v>
      </c>
      <c r="L193" s="50">
        <f t="shared" ref="L193" si="231">ROUND(F193*J193,2)</f>
        <v>132.6</v>
      </c>
      <c r="M193" s="214">
        <f t="shared" ref="M193" si="232">K193+L193</f>
        <v>132.6</v>
      </c>
      <c r="N193" s="58">
        <f t="shared" ref="N193" si="233">IF(M193&gt;=0,M193/$N$5,"")</f>
        <v>4.9026186860760053E-4</v>
      </c>
      <c r="O193" s="62"/>
      <c r="P193" s="22"/>
      <c r="Q193" s="48"/>
      <c r="R193" s="48"/>
    </row>
    <row r="194" spans="1:18" s="251" customFormat="1" ht="13.5" thickBot="1">
      <c r="A194" s="224" t="s">
        <v>710</v>
      </c>
      <c r="B194" s="49" t="s">
        <v>471</v>
      </c>
      <c r="C194" s="49">
        <v>14</v>
      </c>
      <c r="D194" s="76" t="s">
        <v>582</v>
      </c>
      <c r="E194" s="49" t="s">
        <v>75</v>
      </c>
      <c r="F194" s="191">
        <v>150</v>
      </c>
      <c r="G194" s="52">
        <f>'Composições elétrica'!I$66</f>
        <v>4.9504000000000001</v>
      </c>
      <c r="H194" s="52">
        <f>'Composições elétrica'!J$66</f>
        <v>1.79365</v>
      </c>
      <c r="I194" s="50">
        <f t="shared" ref="I194" si="234">ROUND(G194*(1+$G$3),2)</f>
        <v>6.19</v>
      </c>
      <c r="J194" s="50">
        <f t="shared" ref="J194" si="235">ROUND(H194*(1+$G$3),2)</f>
        <v>2.2400000000000002</v>
      </c>
      <c r="K194" s="50">
        <f t="shared" ref="K194" si="236">ROUND(F194*I194,2)</f>
        <v>928.5</v>
      </c>
      <c r="L194" s="50">
        <f t="shared" ref="L194" si="237">ROUND(F194*J194,2)</f>
        <v>336</v>
      </c>
      <c r="M194" s="214">
        <f t="shared" ref="M194" si="238">K194+L194</f>
        <v>1264.5</v>
      </c>
      <c r="N194" s="58">
        <f t="shared" ref="N194" si="239">IF(M194&gt;=0,M194/$N$5,"")</f>
        <v>4.6752347877399014E-3</v>
      </c>
      <c r="O194" s="62"/>
      <c r="P194" s="22"/>
      <c r="Q194" s="48"/>
      <c r="R194" s="48"/>
    </row>
    <row r="195" spans="1:18" s="251" customFormat="1" ht="13.5" thickBot="1">
      <c r="A195" s="224" t="s">
        <v>711</v>
      </c>
      <c r="B195" s="49" t="s">
        <v>471</v>
      </c>
      <c r="C195" s="49" t="s">
        <v>712</v>
      </c>
      <c r="D195" s="76" t="s">
        <v>713</v>
      </c>
      <c r="E195" s="49" t="s">
        <v>75</v>
      </c>
      <c r="F195" s="191">
        <v>50</v>
      </c>
      <c r="G195" s="52">
        <f>'Composições elétrica'!I$80</f>
        <v>8.3308614171961715</v>
      </c>
      <c r="H195" s="52">
        <f>'Composições elétrica'!J$80</f>
        <v>2.5777999999999999</v>
      </c>
      <c r="I195" s="50">
        <f t="shared" ref="I195" si="240">ROUND(G195*(1+$G$3),2)</f>
        <v>10.41</v>
      </c>
      <c r="J195" s="50">
        <f t="shared" ref="J195" si="241">ROUND(H195*(1+$G$3),2)</f>
        <v>3.22</v>
      </c>
      <c r="K195" s="50">
        <f t="shared" ref="K195" si="242">ROUND(F195*I195,2)</f>
        <v>520.5</v>
      </c>
      <c r="L195" s="50">
        <f t="shared" ref="L195" si="243">ROUND(F195*J195,2)</f>
        <v>161</v>
      </c>
      <c r="M195" s="214">
        <f t="shared" ref="M195" si="244">K195+L195</f>
        <v>681.5</v>
      </c>
      <c r="N195" s="58">
        <f t="shared" ref="N195" si="245">IF(M195&gt;=0,M195/$N$5,"")</f>
        <v>2.5197093774968313E-3</v>
      </c>
      <c r="O195" s="62"/>
      <c r="P195" s="22"/>
      <c r="Q195" s="48"/>
      <c r="R195" s="48"/>
    </row>
    <row r="196" spans="1:18" s="251" customFormat="1" ht="13.5" thickBot="1">
      <c r="A196" s="224" t="s">
        <v>714</v>
      </c>
      <c r="B196" s="49" t="s">
        <v>471</v>
      </c>
      <c r="C196" s="49" t="s">
        <v>640</v>
      </c>
      <c r="D196" s="76" t="s">
        <v>624</v>
      </c>
      <c r="E196" s="49" t="s">
        <v>44</v>
      </c>
      <c r="F196" s="191">
        <v>14</v>
      </c>
      <c r="G196" s="52">
        <f>'Composições elétrica'!I$87</f>
        <v>2.5299999999999998</v>
      </c>
      <c r="H196" s="52">
        <f>'Composições elétrica'!J$87</f>
        <v>2.2177759999999997</v>
      </c>
      <c r="I196" s="50">
        <f t="shared" ref="I196" si="246">ROUND(G196*(1+$G$3),2)</f>
        <v>3.16</v>
      </c>
      <c r="J196" s="50">
        <f t="shared" ref="J196" si="247">ROUND(H196*(1+$G$3),2)</f>
        <v>2.77</v>
      </c>
      <c r="K196" s="50">
        <f t="shared" ref="K196" si="248">ROUND(F196*I196,2)</f>
        <v>44.24</v>
      </c>
      <c r="L196" s="50">
        <f t="shared" ref="L196" si="249">ROUND(F196*J196,2)</f>
        <v>38.78</v>
      </c>
      <c r="M196" s="214">
        <f t="shared" ref="M196" si="250">K196+L196</f>
        <v>83.02000000000001</v>
      </c>
      <c r="N196" s="58">
        <f t="shared" ref="N196" si="251">IF(M196&gt;=0,M196/$N$5,"")</f>
        <v>3.0694977625794122E-4</v>
      </c>
      <c r="O196" s="62"/>
      <c r="P196" s="22"/>
      <c r="Q196" s="48"/>
      <c r="R196" s="48"/>
    </row>
    <row r="197" spans="1:18" s="251" customFormat="1" ht="26.25" thickBot="1">
      <c r="A197" s="224" t="s">
        <v>715</v>
      </c>
      <c r="B197" s="49" t="s">
        <v>471</v>
      </c>
      <c r="C197" s="49" t="s">
        <v>642</v>
      </c>
      <c r="D197" s="76" t="s">
        <v>625</v>
      </c>
      <c r="E197" s="49" t="s">
        <v>44</v>
      </c>
      <c r="F197" s="191">
        <v>6</v>
      </c>
      <c r="G197" s="52">
        <f>'Composições elétrica'!I$92</f>
        <v>16.59</v>
      </c>
      <c r="H197" s="52">
        <f>'Composições elétrica'!J$92</f>
        <v>13.512047999999998</v>
      </c>
      <c r="I197" s="50">
        <f t="shared" ref="I197:I208" si="252">ROUND(G197*(1+$G$3),2)</f>
        <v>20.73</v>
      </c>
      <c r="J197" s="50">
        <f t="shared" ref="J197:J208" si="253">ROUND(H197*(1+$G$3),2)</f>
        <v>16.89</v>
      </c>
      <c r="K197" s="50">
        <f t="shared" ref="K197:K208" si="254">ROUND(F197*I197,2)</f>
        <v>124.38</v>
      </c>
      <c r="L197" s="50">
        <f t="shared" ref="L197:L208" si="255">ROUND(F197*J197,2)</f>
        <v>101.34</v>
      </c>
      <c r="M197" s="214">
        <f t="shared" ref="M197:M208" si="256">K197+L197</f>
        <v>225.72</v>
      </c>
      <c r="N197" s="58">
        <f t="shared" ref="N197:N208" si="257">IF(M197&gt;=0,M197/$N$5,"")</f>
        <v>8.3455436638090201E-4</v>
      </c>
      <c r="O197" s="62"/>
      <c r="P197" s="22"/>
      <c r="Q197" s="48"/>
      <c r="R197" s="48"/>
    </row>
    <row r="198" spans="1:18" s="251" customFormat="1" ht="26.25" thickBot="1">
      <c r="A198" s="224" t="s">
        <v>716</v>
      </c>
      <c r="B198" s="49" t="s">
        <v>471</v>
      </c>
      <c r="C198" s="49" t="s">
        <v>581</v>
      </c>
      <c r="D198" s="76" t="s">
        <v>586</v>
      </c>
      <c r="E198" s="49" t="s">
        <v>44</v>
      </c>
      <c r="F198" s="191">
        <v>11</v>
      </c>
      <c r="G198" s="52">
        <f>'Composições elétrica'!I$98</f>
        <v>46.59</v>
      </c>
      <c r="H198" s="52">
        <f>'Composições elétrica'!J$98</f>
        <v>24.296847999999997</v>
      </c>
      <c r="I198" s="50">
        <f t="shared" si="252"/>
        <v>58.22</v>
      </c>
      <c r="J198" s="50">
        <f t="shared" si="253"/>
        <v>30.36</v>
      </c>
      <c r="K198" s="50">
        <f t="shared" si="254"/>
        <v>640.41999999999996</v>
      </c>
      <c r="L198" s="50">
        <f t="shared" si="255"/>
        <v>333.96</v>
      </c>
      <c r="M198" s="214">
        <f t="shared" si="256"/>
        <v>974.37999999999988</v>
      </c>
      <c r="N198" s="58">
        <f t="shared" si="257"/>
        <v>3.6025743554590787E-3</v>
      </c>
      <c r="O198" s="62"/>
      <c r="P198" s="22"/>
      <c r="Q198" s="48"/>
      <c r="R198" s="48"/>
    </row>
    <row r="199" spans="1:18" s="251" customFormat="1" ht="26.25" thickBot="1">
      <c r="A199" s="224" t="s">
        <v>717</v>
      </c>
      <c r="B199" s="49" t="s">
        <v>471</v>
      </c>
      <c r="C199" s="49" t="s">
        <v>584</v>
      </c>
      <c r="D199" s="76" t="s">
        <v>588</v>
      </c>
      <c r="E199" s="49" t="s">
        <v>44</v>
      </c>
      <c r="F199" s="191">
        <v>13</v>
      </c>
      <c r="G199" s="52">
        <f>'Composições elétrica'!I$105</f>
        <v>65.25</v>
      </c>
      <c r="H199" s="52">
        <f>'Composições elétrica'!J$105</f>
        <v>7.6510200000000008</v>
      </c>
      <c r="I199" s="50">
        <f t="shared" si="252"/>
        <v>81.540000000000006</v>
      </c>
      <c r="J199" s="50">
        <f t="shared" si="253"/>
        <v>9.56</v>
      </c>
      <c r="K199" s="50">
        <f t="shared" si="254"/>
        <v>1060.02</v>
      </c>
      <c r="L199" s="50">
        <f t="shared" si="255"/>
        <v>124.28</v>
      </c>
      <c r="M199" s="214">
        <f t="shared" si="256"/>
        <v>1184.3</v>
      </c>
      <c r="N199" s="58">
        <f t="shared" si="257"/>
        <v>4.3787113951129818E-3</v>
      </c>
      <c r="O199" s="62"/>
      <c r="P199" s="22"/>
      <c r="Q199" s="48"/>
      <c r="R199" s="48"/>
    </row>
    <row r="200" spans="1:18" s="251" customFormat="1" ht="26.25" thickBot="1">
      <c r="A200" s="224" t="s">
        <v>718</v>
      </c>
      <c r="B200" s="49" t="s">
        <v>471</v>
      </c>
      <c r="C200" s="49" t="s">
        <v>667</v>
      </c>
      <c r="D200" s="76" t="s">
        <v>668</v>
      </c>
      <c r="E200" s="49" t="s">
        <v>44</v>
      </c>
      <c r="F200" s="191">
        <v>2</v>
      </c>
      <c r="G200" s="52">
        <f>'Composições elétrica'!I$112</f>
        <v>98.809999999999988</v>
      </c>
      <c r="H200" s="52">
        <f>'Composições elétrica'!J$112</f>
        <v>12.20804</v>
      </c>
      <c r="I200" s="50">
        <f t="shared" si="252"/>
        <v>123.48</v>
      </c>
      <c r="J200" s="50">
        <f t="shared" si="253"/>
        <v>15.26</v>
      </c>
      <c r="K200" s="50">
        <f t="shared" si="254"/>
        <v>246.96</v>
      </c>
      <c r="L200" s="50">
        <f t="shared" si="255"/>
        <v>30.52</v>
      </c>
      <c r="M200" s="214">
        <f t="shared" si="256"/>
        <v>277.48</v>
      </c>
      <c r="N200" s="58">
        <f t="shared" si="257"/>
        <v>1.0259265708992234E-3</v>
      </c>
      <c r="O200" s="62"/>
      <c r="P200" s="22"/>
      <c r="Q200" s="48"/>
      <c r="R200" s="48"/>
    </row>
    <row r="201" spans="1:18" s="251" customFormat="1" ht="26.25" thickBot="1">
      <c r="A201" s="224" t="s">
        <v>719</v>
      </c>
      <c r="B201" s="49" t="s">
        <v>471</v>
      </c>
      <c r="C201" s="49">
        <v>45</v>
      </c>
      <c r="D201" s="76" t="s">
        <v>628</v>
      </c>
      <c r="E201" s="49" t="s">
        <v>44</v>
      </c>
      <c r="F201" s="191">
        <v>16</v>
      </c>
      <c r="G201" s="52">
        <f>'Composições elétrica'!I$148</f>
        <v>18.38</v>
      </c>
      <c r="H201" s="52">
        <f>'Composições elétrica'!J$148</f>
        <v>1.8998000000000002</v>
      </c>
      <c r="I201" s="50">
        <f t="shared" si="252"/>
        <v>22.97</v>
      </c>
      <c r="J201" s="50">
        <f t="shared" si="253"/>
        <v>2.37</v>
      </c>
      <c r="K201" s="50">
        <f t="shared" si="254"/>
        <v>367.52</v>
      </c>
      <c r="L201" s="50">
        <f t="shared" si="255"/>
        <v>37.92</v>
      </c>
      <c r="M201" s="214">
        <f t="shared" si="256"/>
        <v>405.44</v>
      </c>
      <c r="N201" s="58">
        <f t="shared" si="257"/>
        <v>1.4990329714047179E-3</v>
      </c>
      <c r="O201" s="62"/>
      <c r="P201" s="22"/>
      <c r="Q201" s="48"/>
      <c r="R201" s="48"/>
    </row>
    <row r="202" spans="1:18" s="251" customFormat="1" ht="26.25" thickBot="1">
      <c r="A202" s="224" t="s">
        <v>720</v>
      </c>
      <c r="B202" s="49" t="s">
        <v>471</v>
      </c>
      <c r="C202" s="49">
        <v>48</v>
      </c>
      <c r="D202" s="110" t="s">
        <v>595</v>
      </c>
      <c r="E202" s="49" t="s">
        <v>44</v>
      </c>
      <c r="F202" s="191">
        <v>8</v>
      </c>
      <c r="G202" s="52">
        <f>'Composições elétrica'!I$160</f>
        <v>90.07</v>
      </c>
      <c r="H202" s="52">
        <f>'Composições elétrica'!J$160</f>
        <v>20.035210599999999</v>
      </c>
      <c r="I202" s="50">
        <f t="shared" si="252"/>
        <v>112.56</v>
      </c>
      <c r="J202" s="50">
        <f t="shared" si="253"/>
        <v>25.04</v>
      </c>
      <c r="K202" s="50">
        <f t="shared" si="254"/>
        <v>900.48</v>
      </c>
      <c r="L202" s="50">
        <f t="shared" si="255"/>
        <v>200.32</v>
      </c>
      <c r="M202" s="214">
        <f t="shared" si="256"/>
        <v>1100.8</v>
      </c>
      <c r="N202" s="58">
        <f t="shared" si="257"/>
        <v>4.0699869152582705E-3</v>
      </c>
      <c r="O202" s="62"/>
      <c r="P202" s="22"/>
      <c r="Q202" s="48"/>
      <c r="R202" s="48"/>
    </row>
    <row r="203" spans="1:18" s="251" customFormat="1" ht="26.25" thickBot="1">
      <c r="A203" s="224" t="s">
        <v>721</v>
      </c>
      <c r="B203" s="49" t="s">
        <v>471</v>
      </c>
      <c r="C203" s="49">
        <v>77</v>
      </c>
      <c r="D203" s="76" t="s">
        <v>596</v>
      </c>
      <c r="E203" s="49" t="s">
        <v>75</v>
      </c>
      <c r="F203" s="191">
        <v>500</v>
      </c>
      <c r="G203" s="52">
        <f>'Composições elétrica'!I$173</f>
        <v>2.4569999999999999</v>
      </c>
      <c r="H203" s="52">
        <f>'Composições elétrica'!J$173</f>
        <v>1.1889799999999999</v>
      </c>
      <c r="I203" s="50">
        <f t="shared" si="252"/>
        <v>3.07</v>
      </c>
      <c r="J203" s="50">
        <f t="shared" si="253"/>
        <v>1.49</v>
      </c>
      <c r="K203" s="50">
        <f t="shared" si="254"/>
        <v>1535</v>
      </c>
      <c r="L203" s="50">
        <f t="shared" si="255"/>
        <v>745</v>
      </c>
      <c r="M203" s="214">
        <f t="shared" si="256"/>
        <v>2280</v>
      </c>
      <c r="N203" s="58">
        <f t="shared" si="257"/>
        <v>8.4298420846555758E-3</v>
      </c>
      <c r="O203" s="62"/>
      <c r="P203" s="22"/>
      <c r="Q203" s="48"/>
      <c r="R203" s="48"/>
    </row>
    <row r="204" spans="1:18" s="251" customFormat="1" ht="39" thickBot="1">
      <c r="A204" s="224" t="s">
        <v>722</v>
      </c>
      <c r="B204" s="49" t="s">
        <v>471</v>
      </c>
      <c r="C204" s="49">
        <v>108</v>
      </c>
      <c r="D204" s="76" t="s">
        <v>599</v>
      </c>
      <c r="E204" s="49" t="s">
        <v>75</v>
      </c>
      <c r="F204" s="191">
        <v>36</v>
      </c>
      <c r="G204" s="52">
        <f>'Composições elétrica'!I$258</f>
        <v>101.74066666666668</v>
      </c>
      <c r="H204" s="52">
        <f>'Composições elétrica'!J$258</f>
        <v>11.492000000000001</v>
      </c>
      <c r="I204" s="50">
        <f t="shared" si="252"/>
        <v>127.14</v>
      </c>
      <c r="J204" s="50">
        <f t="shared" si="253"/>
        <v>14.36</v>
      </c>
      <c r="K204" s="50">
        <f t="shared" si="254"/>
        <v>4577.04</v>
      </c>
      <c r="L204" s="50">
        <f t="shared" si="255"/>
        <v>516.96</v>
      </c>
      <c r="M204" s="214">
        <f t="shared" si="256"/>
        <v>5094</v>
      </c>
      <c r="N204" s="58">
        <f t="shared" si="257"/>
        <v>1.8834041920717325E-2</v>
      </c>
      <c r="O204" s="62"/>
      <c r="P204" s="22"/>
      <c r="Q204" s="48"/>
      <c r="R204" s="48"/>
    </row>
    <row r="205" spans="1:18" s="251" customFormat="1" ht="26.25" thickBot="1">
      <c r="A205" s="224" t="s">
        <v>723</v>
      </c>
      <c r="B205" s="49" t="s">
        <v>471</v>
      </c>
      <c r="C205" s="49">
        <v>109</v>
      </c>
      <c r="D205" s="76" t="s">
        <v>600</v>
      </c>
      <c r="E205" s="49" t="s">
        <v>75</v>
      </c>
      <c r="F205" s="191">
        <v>4</v>
      </c>
      <c r="G205" s="52">
        <f>'Composições elétrica'!I$267</f>
        <v>7.49</v>
      </c>
      <c r="H205" s="52">
        <f>'Composições elétrica'!J$267</f>
        <v>1.7679999999999998</v>
      </c>
      <c r="I205" s="50">
        <f t="shared" si="252"/>
        <v>9.36</v>
      </c>
      <c r="J205" s="50">
        <f t="shared" si="253"/>
        <v>2.21</v>
      </c>
      <c r="K205" s="50">
        <f t="shared" si="254"/>
        <v>37.44</v>
      </c>
      <c r="L205" s="50">
        <f t="shared" si="255"/>
        <v>8.84</v>
      </c>
      <c r="M205" s="214">
        <f t="shared" si="256"/>
        <v>46.28</v>
      </c>
      <c r="N205" s="58">
        <f t="shared" si="257"/>
        <v>1.7111100512186845E-4</v>
      </c>
      <c r="O205" s="62"/>
      <c r="P205" s="22"/>
      <c r="Q205" s="48"/>
      <c r="R205" s="48"/>
    </row>
    <row r="206" spans="1:18" s="251" customFormat="1" ht="39" thickBot="1">
      <c r="A206" s="224" t="s">
        <v>724</v>
      </c>
      <c r="B206" s="49" t="s">
        <v>471</v>
      </c>
      <c r="C206" s="49">
        <v>110</v>
      </c>
      <c r="D206" s="76" t="s">
        <v>601</v>
      </c>
      <c r="E206" s="49" t="s">
        <v>44</v>
      </c>
      <c r="F206" s="191">
        <v>1</v>
      </c>
      <c r="G206" s="52">
        <f>'Composições elétrica'!I$273</f>
        <v>62.985602831175093</v>
      </c>
      <c r="H206" s="52">
        <f>'Composições elétrica'!J$273</f>
        <v>5.7460000000000004</v>
      </c>
      <c r="I206" s="50">
        <f t="shared" si="252"/>
        <v>78.709999999999994</v>
      </c>
      <c r="J206" s="50">
        <f t="shared" si="253"/>
        <v>7.18</v>
      </c>
      <c r="K206" s="50">
        <f t="shared" si="254"/>
        <v>78.709999999999994</v>
      </c>
      <c r="L206" s="50">
        <f t="shared" si="255"/>
        <v>7.18</v>
      </c>
      <c r="M206" s="214">
        <f t="shared" si="256"/>
        <v>85.889999999999986</v>
      </c>
      <c r="N206" s="58">
        <f t="shared" si="257"/>
        <v>3.1756102484695935E-4</v>
      </c>
      <c r="O206" s="62"/>
      <c r="P206" s="22"/>
      <c r="Q206" s="48"/>
      <c r="R206" s="48"/>
    </row>
    <row r="207" spans="1:18" s="251" customFormat="1" ht="26.25" thickBot="1">
      <c r="A207" s="224" t="s">
        <v>725</v>
      </c>
      <c r="B207" s="49" t="s">
        <v>471</v>
      </c>
      <c r="C207" s="49">
        <v>112</v>
      </c>
      <c r="D207" s="110" t="s">
        <v>683</v>
      </c>
      <c r="E207" s="49" t="s">
        <v>44</v>
      </c>
      <c r="F207" s="191">
        <v>4</v>
      </c>
      <c r="G207" s="52">
        <f>'Composições elétrica'!I$285</f>
        <v>22.95</v>
      </c>
      <c r="H207" s="52">
        <f>'Composições elétrica'!J$285</f>
        <v>7.5140000000000011</v>
      </c>
      <c r="I207" s="50">
        <f t="shared" si="252"/>
        <v>28.68</v>
      </c>
      <c r="J207" s="50">
        <f t="shared" si="253"/>
        <v>9.39</v>
      </c>
      <c r="K207" s="50">
        <f t="shared" si="254"/>
        <v>114.72</v>
      </c>
      <c r="L207" s="50">
        <f t="shared" si="255"/>
        <v>37.56</v>
      </c>
      <c r="M207" s="214">
        <f t="shared" si="256"/>
        <v>152.28</v>
      </c>
      <c r="N207" s="58">
        <f t="shared" si="257"/>
        <v>5.63024716075154E-4</v>
      </c>
      <c r="O207" s="62"/>
      <c r="P207" s="22"/>
      <c r="Q207" s="48"/>
      <c r="R207" s="48"/>
    </row>
    <row r="208" spans="1:18" s="251" customFormat="1" ht="39" thickBot="1">
      <c r="A208" s="224" t="s">
        <v>726</v>
      </c>
      <c r="B208" s="49" t="s">
        <v>471</v>
      </c>
      <c r="C208" s="49">
        <v>114</v>
      </c>
      <c r="D208" s="76" t="s">
        <v>684</v>
      </c>
      <c r="E208" s="49" t="s">
        <v>44</v>
      </c>
      <c r="F208" s="191">
        <v>9</v>
      </c>
      <c r="G208" s="52">
        <f>'Composições elétrica'!I$297</f>
        <v>27.99</v>
      </c>
      <c r="H208" s="52">
        <f>'Composições elétrica'!J$297</f>
        <v>3.0940000000000003</v>
      </c>
      <c r="I208" s="50">
        <f t="shared" si="252"/>
        <v>34.979999999999997</v>
      </c>
      <c r="J208" s="50">
        <f t="shared" si="253"/>
        <v>3.87</v>
      </c>
      <c r="K208" s="50">
        <f t="shared" si="254"/>
        <v>314.82</v>
      </c>
      <c r="L208" s="50">
        <f t="shared" si="255"/>
        <v>34.83</v>
      </c>
      <c r="M208" s="214">
        <f t="shared" si="256"/>
        <v>349.65</v>
      </c>
      <c r="N208" s="58">
        <f t="shared" si="257"/>
        <v>1.2927606512718518E-3</v>
      </c>
      <c r="O208" s="62"/>
      <c r="P208" s="22"/>
      <c r="Q208" s="48"/>
      <c r="R208" s="48"/>
    </row>
    <row r="209" spans="1:18" s="113" customFormat="1" ht="13.5" thickBot="1">
      <c r="A209" s="224"/>
      <c r="B209" s="49"/>
      <c r="C209" s="49"/>
      <c r="D209" s="76"/>
      <c r="E209" s="49"/>
      <c r="F209" s="191"/>
      <c r="G209" s="52"/>
      <c r="H209" s="52"/>
      <c r="I209" s="52"/>
      <c r="J209" s="52"/>
      <c r="K209" s="50"/>
      <c r="L209" s="50"/>
      <c r="M209" s="214"/>
      <c r="N209" s="58"/>
      <c r="O209" s="62"/>
      <c r="P209" s="22"/>
      <c r="Q209" s="48"/>
      <c r="R209" s="48"/>
    </row>
    <row r="210" spans="1:18" s="113" customFormat="1" ht="15.75" customHeight="1" thickBot="1">
      <c r="A210" s="226" t="s">
        <v>379</v>
      </c>
      <c r="B210" s="112" t="s">
        <v>206</v>
      </c>
      <c r="C210" s="95"/>
      <c r="D210" s="96"/>
      <c r="E210" s="95"/>
      <c r="F210" s="193">
        <v>8</v>
      </c>
      <c r="G210" s="98"/>
      <c r="H210" s="98"/>
      <c r="I210" s="97"/>
      <c r="J210" s="97"/>
      <c r="K210" s="97"/>
      <c r="L210" s="97"/>
      <c r="M210" s="216">
        <f>SUBTOTAL(9,M212:M245)</f>
        <v>26526.79</v>
      </c>
      <c r="N210" s="93">
        <f>SUBTOTAL(9,N212:N245)</f>
        <v>9.807747838281608E-2</v>
      </c>
      <c r="O210" s="62"/>
      <c r="P210" s="22"/>
      <c r="Q210" s="48"/>
      <c r="R210" s="48"/>
    </row>
    <row r="211" spans="1:18" s="113" customFormat="1" ht="13.5" thickBot="1">
      <c r="A211" s="224" t="s">
        <v>380</v>
      </c>
      <c r="B211" s="49"/>
      <c r="C211" s="49"/>
      <c r="D211" s="197" t="s">
        <v>99</v>
      </c>
      <c r="E211" s="49"/>
      <c r="F211" s="191"/>
      <c r="G211" s="52"/>
      <c r="H211" s="52"/>
      <c r="I211" s="52"/>
      <c r="J211" s="52"/>
      <c r="K211" s="50"/>
      <c r="L211" s="50"/>
      <c r="M211" s="214"/>
      <c r="N211" s="58"/>
      <c r="O211" s="62"/>
      <c r="P211" s="22"/>
      <c r="Q211" s="48"/>
      <c r="R211" s="48"/>
    </row>
    <row r="212" spans="1:18" s="113" customFormat="1" ht="26.25" thickBot="1">
      <c r="A212" s="224" t="s">
        <v>381</v>
      </c>
      <c r="B212" s="49" t="s">
        <v>30</v>
      </c>
      <c r="C212" s="49">
        <v>97638</v>
      </c>
      <c r="D212" s="76" t="str">
        <f>VLOOKUP(C212,'Fonte Cotação'!B:E,2,0)</f>
        <v>Remoção De Chapas E Perfis De Drywall, De Forma Manual, Sem Reaproveitamento. Af_12/2017</v>
      </c>
      <c r="E212" s="49" t="s">
        <v>71</v>
      </c>
      <c r="F212" s="191">
        <f>IFERROR(VLOOKUP(C212,LEVANTAMENTO!$C$11:$K$104,$F$210,0),"0")</f>
        <v>1.9800000000000002</v>
      </c>
      <c r="G212" s="52">
        <f>VLOOKUP(C212,'Fonte Cotação'!B:E,3,0)</f>
        <v>1.6700000000000002</v>
      </c>
      <c r="H212" s="52">
        <f>VLOOKUP(C212,'Fonte Cotação'!B:E,4,0)</f>
        <v>4.51</v>
      </c>
      <c r="I212" s="50">
        <f t="shared" ref="I212" si="258">ROUND(G212*(1+$G$3),2)</f>
        <v>2.09</v>
      </c>
      <c r="J212" s="50">
        <f t="shared" ref="J212" si="259">ROUND(H212*(1+$G$3),2)</f>
        <v>5.64</v>
      </c>
      <c r="K212" s="50">
        <f t="shared" ref="K212" si="260">ROUND(F212*I212,2)</f>
        <v>4.1399999999999997</v>
      </c>
      <c r="L212" s="50">
        <f t="shared" ref="L212" si="261">ROUND(F212*J212,2)</f>
        <v>11.17</v>
      </c>
      <c r="M212" s="214">
        <f t="shared" ref="M212" si="262">K212+L212</f>
        <v>15.309999999999999</v>
      </c>
      <c r="N212" s="58">
        <f t="shared" ref="N212" si="263">IF(M212&gt;=0,M212/$N$5,"")</f>
        <v>5.6605650138630199E-5</v>
      </c>
      <c r="O212" s="62"/>
      <c r="P212" s="22" t="str">
        <f t="shared" ref="P212:P227" si="264">LEFT(A212,5)</f>
        <v>06.01</v>
      </c>
      <c r="Q212" s="48"/>
      <c r="R212" s="48"/>
    </row>
    <row r="213" spans="1:18" s="113" customFormat="1" ht="13.5" thickBot="1">
      <c r="A213" s="224" t="s">
        <v>382</v>
      </c>
      <c r="B213" s="49"/>
      <c r="C213" s="49"/>
      <c r="D213" s="197" t="s">
        <v>110</v>
      </c>
      <c r="E213" s="49"/>
      <c r="F213" s="191"/>
      <c r="G213" s="52"/>
      <c r="H213" s="52"/>
      <c r="I213" s="52"/>
      <c r="J213" s="52"/>
      <c r="K213" s="50"/>
      <c r="L213" s="50"/>
      <c r="M213" s="214"/>
      <c r="N213" s="58"/>
      <c r="O213" s="62"/>
      <c r="P213" s="22"/>
      <c r="Q213" s="48"/>
      <c r="R213" s="48"/>
    </row>
    <row r="214" spans="1:18" s="113" customFormat="1" ht="26.25" thickBot="1">
      <c r="A214" s="224" t="s">
        <v>383</v>
      </c>
      <c r="B214" s="49" t="s">
        <v>30</v>
      </c>
      <c r="C214" s="49">
        <v>96358</v>
      </c>
      <c r="D214" s="76" t="str">
        <f>VLOOKUP(C214,'Fonte Cotação'!B:E,2,0)</f>
        <v>Parede Com Placas De Gesso Acartonado (Drywall), Para Uso Interno, Com Duas Faces Simples E Estrutura Metálica Com Guias Simples, Sem Vãos. Af_06/2017_P</v>
      </c>
      <c r="E214" s="49" t="s">
        <v>71</v>
      </c>
      <c r="F214" s="191">
        <f>IFERROR(VLOOKUP(C214,LEVANTAMENTO!$C$11:$K$104,$F$210,0),"0")</f>
        <v>20.758600000000001</v>
      </c>
      <c r="G214" s="52">
        <f>VLOOKUP(C214,'Fonte Cotação'!B:E,3,0)</f>
        <v>83.75</v>
      </c>
      <c r="H214" s="52">
        <f>VLOOKUP(C214,'Fonte Cotação'!B:E,4,0)</f>
        <v>9.59</v>
      </c>
      <c r="I214" s="50">
        <f t="shared" ref="I214:I216" si="265">ROUND(G214*(1+$G$3),2)</f>
        <v>104.66</v>
      </c>
      <c r="J214" s="50">
        <f t="shared" ref="J214:J216" si="266">ROUND(H214*(1+$G$3),2)</f>
        <v>11.98</v>
      </c>
      <c r="K214" s="50">
        <f t="shared" ref="K214:K216" si="267">ROUND(F214*I214,2)</f>
        <v>2172.6</v>
      </c>
      <c r="L214" s="50">
        <f t="shared" ref="L214:L216" si="268">ROUND(F214*J214,2)</f>
        <v>248.69</v>
      </c>
      <c r="M214" s="214">
        <f t="shared" ref="M214:M216" si="269">K214+L214</f>
        <v>2421.29</v>
      </c>
      <c r="N214" s="58">
        <f t="shared" ref="N214:N216" si="270">IF(M214&gt;=0,M214/$N$5,"")</f>
        <v>8.9522334829630259E-3</v>
      </c>
      <c r="O214" s="62"/>
      <c r="P214" s="22" t="str">
        <f t="shared" si="264"/>
        <v>06.02</v>
      </c>
      <c r="Q214" s="48"/>
      <c r="R214" s="48"/>
    </row>
    <row r="215" spans="1:18" s="113" customFormat="1" ht="13.5" thickBot="1">
      <c r="A215" s="224" t="s">
        <v>384</v>
      </c>
      <c r="B215" s="49" t="s">
        <v>30</v>
      </c>
      <c r="C215" s="49">
        <v>96374</v>
      </c>
      <c r="D215" s="76" t="str">
        <f>VLOOKUP(C215,'Fonte Cotação'!B:E,2,0)</f>
        <v>Instalação De Reforço De Madeira Em Parede Drywall. Af_06/2017</v>
      </c>
      <c r="E215" s="49" t="s">
        <v>75</v>
      </c>
      <c r="F215" s="191">
        <f>IFERROR(VLOOKUP(C215,LEVANTAMENTO!$C$11:$K$104,$F$210,0),"0")</f>
        <v>2.0999999999999996</v>
      </c>
      <c r="G215" s="52">
        <f>VLOOKUP(C215,'Fonte Cotação'!B:E,3,0)</f>
        <v>16.8</v>
      </c>
      <c r="H215" s="52">
        <f>VLOOKUP(C215,'Fonte Cotação'!B:E,4,0)</f>
        <v>1.47</v>
      </c>
      <c r="I215" s="50">
        <f t="shared" si="265"/>
        <v>20.99</v>
      </c>
      <c r="J215" s="50">
        <f t="shared" si="266"/>
        <v>1.84</v>
      </c>
      <c r="K215" s="50">
        <f t="shared" si="267"/>
        <v>44.08</v>
      </c>
      <c r="L215" s="50">
        <f t="shared" si="268"/>
        <v>3.86</v>
      </c>
      <c r="M215" s="214">
        <f t="shared" si="269"/>
        <v>47.94</v>
      </c>
      <c r="N215" s="58">
        <f t="shared" si="270"/>
        <v>1.7724852172736329E-4</v>
      </c>
      <c r="O215" s="62"/>
      <c r="P215" s="22" t="str">
        <f t="shared" si="264"/>
        <v>06.02</v>
      </c>
      <c r="Q215" s="48"/>
      <c r="R215" s="48"/>
    </row>
    <row r="216" spans="1:18" s="113" customFormat="1" ht="13.5" thickBot="1">
      <c r="A216" s="224" t="s">
        <v>385</v>
      </c>
      <c r="B216" s="49" t="s">
        <v>30</v>
      </c>
      <c r="C216" s="49" t="s">
        <v>127</v>
      </c>
      <c r="D216" s="76" t="str">
        <f>VLOOKUP(C216,'Fonte Cotação'!B:E,2,0)</f>
        <v>Alcapao Em Ferro 60X60Cm, Incluso Ferragens</v>
      </c>
      <c r="E216" s="49" t="s">
        <v>44</v>
      </c>
      <c r="F216" s="191">
        <f>IFERROR(VLOOKUP(C216,LEVANTAMENTO!$C$11:$K$104,$F$210,0),"0")</f>
        <v>6</v>
      </c>
      <c r="G216" s="52">
        <f>VLOOKUP(C216,'Fonte Cotação'!B:E,3,0)</f>
        <v>107.78</v>
      </c>
      <c r="H216" s="52">
        <f>VLOOKUP(C216,'Fonte Cotação'!B:E,4,0)</f>
        <v>16.77</v>
      </c>
      <c r="I216" s="50">
        <f t="shared" si="265"/>
        <v>134.69</v>
      </c>
      <c r="J216" s="50">
        <f t="shared" si="266"/>
        <v>20.96</v>
      </c>
      <c r="K216" s="50">
        <f t="shared" si="267"/>
        <v>808.14</v>
      </c>
      <c r="L216" s="50">
        <f t="shared" si="268"/>
        <v>125.76</v>
      </c>
      <c r="M216" s="214">
        <f t="shared" si="269"/>
        <v>933.9</v>
      </c>
      <c r="N216" s="58">
        <f t="shared" si="270"/>
        <v>3.4529076854648432E-3</v>
      </c>
      <c r="O216" s="62"/>
      <c r="P216" s="22" t="str">
        <f t="shared" si="264"/>
        <v>06.02</v>
      </c>
      <c r="Q216" s="48"/>
      <c r="R216" s="48"/>
    </row>
    <row r="217" spans="1:18" s="113" customFormat="1" ht="13.5" thickBot="1">
      <c r="A217" s="224" t="s">
        <v>386</v>
      </c>
      <c r="B217" s="49"/>
      <c r="C217" s="49"/>
      <c r="D217" s="197" t="s">
        <v>134</v>
      </c>
      <c r="E217" s="49"/>
      <c r="F217" s="191"/>
      <c r="G217" s="52"/>
      <c r="H217" s="52"/>
      <c r="I217" s="52"/>
      <c r="J217" s="52"/>
      <c r="K217" s="50"/>
      <c r="L217" s="50"/>
      <c r="M217" s="214"/>
      <c r="N217" s="58"/>
      <c r="O217" s="62"/>
      <c r="P217" s="22"/>
      <c r="Q217" s="48"/>
      <c r="R217" s="48"/>
    </row>
    <row r="218" spans="1:18" s="113" customFormat="1" ht="13.5" thickBot="1">
      <c r="A218" s="224" t="s">
        <v>387</v>
      </c>
      <c r="B218" s="49" t="s">
        <v>30</v>
      </c>
      <c r="C218" s="49">
        <v>88497</v>
      </c>
      <c r="D218" s="76" t="str">
        <f>VLOOKUP(C218,'Fonte Cotação'!B:E,2,0)</f>
        <v>Aplicação E Lixamento De Massa Látex Em Paredes, Duas Demãos. Af_06/2014</v>
      </c>
      <c r="E218" s="49" t="s">
        <v>71</v>
      </c>
      <c r="F218" s="191">
        <f>IFERROR(VLOOKUP(C218,LEVANTAMENTO!$C$11:$K$104,$F$210,0),"0")</f>
        <v>41.517200000000003</v>
      </c>
      <c r="G218" s="52">
        <f>VLOOKUP(C218,'Fonte Cotação'!B:E,3,0)</f>
        <v>7.0600000000000005</v>
      </c>
      <c r="H218" s="52">
        <f>VLOOKUP(C218,'Fonte Cotação'!B:E,4,0)</f>
        <v>5.95</v>
      </c>
      <c r="I218" s="50">
        <f t="shared" ref="I218:I220" si="271">ROUND(G218*(1+$G$3),2)</f>
        <v>8.82</v>
      </c>
      <c r="J218" s="50">
        <f t="shared" ref="J218:J220" si="272">ROUND(H218*(1+$G$3),2)</f>
        <v>7.44</v>
      </c>
      <c r="K218" s="50">
        <f t="shared" ref="K218:K220" si="273">ROUND(F218*I218,2)</f>
        <v>366.18</v>
      </c>
      <c r="L218" s="50">
        <f t="shared" ref="L218:L220" si="274">ROUND(F218*J218,2)</f>
        <v>308.89</v>
      </c>
      <c r="M218" s="214">
        <f t="shared" ref="M218:M220" si="275">K218+L218</f>
        <v>675.06999999999994</v>
      </c>
      <c r="N218" s="58">
        <f t="shared" ref="N218:N220" si="276">IF(M218&gt;=0,M218/$N$5,"")</f>
        <v>2.4959357438984384E-3</v>
      </c>
      <c r="O218" s="62"/>
      <c r="P218" s="22" t="str">
        <f t="shared" si="264"/>
        <v>06.03</v>
      </c>
      <c r="Q218" s="48"/>
      <c r="R218" s="48"/>
    </row>
    <row r="219" spans="1:18" s="113" customFormat="1" ht="15.75" customHeight="1" thickBot="1">
      <c r="A219" s="224" t="s">
        <v>388</v>
      </c>
      <c r="B219" s="49" t="s">
        <v>30</v>
      </c>
      <c r="C219" s="49">
        <v>88485</v>
      </c>
      <c r="D219" s="76" t="str">
        <f>VLOOKUP(C219,'Fonte Cotação'!B:E,2,0)</f>
        <v>Aplicação De Fundo Selador Acrílico Em Paredes, Uma Demão. Af_06/2014</v>
      </c>
      <c r="E219" s="49" t="s">
        <v>71</v>
      </c>
      <c r="F219" s="191">
        <f>IFERROR(VLOOKUP(C219,LEVANTAMENTO!$C$11:$K$104,$F$210,0),"0")</f>
        <v>41.517200000000003</v>
      </c>
      <c r="G219" s="52">
        <f>VLOOKUP(C219,'Fonte Cotação'!B:E,3,0)</f>
        <v>1.37</v>
      </c>
      <c r="H219" s="52">
        <f>VLOOKUP(C219,'Fonte Cotação'!B:E,4,0)</f>
        <v>0.74</v>
      </c>
      <c r="I219" s="50">
        <f t="shared" si="271"/>
        <v>1.71</v>
      </c>
      <c r="J219" s="50">
        <f t="shared" si="272"/>
        <v>0.92</v>
      </c>
      <c r="K219" s="50">
        <f t="shared" si="273"/>
        <v>70.989999999999995</v>
      </c>
      <c r="L219" s="50">
        <f t="shared" si="274"/>
        <v>38.200000000000003</v>
      </c>
      <c r="M219" s="214">
        <f t="shared" si="275"/>
        <v>109.19</v>
      </c>
      <c r="N219" s="58">
        <f t="shared" si="276"/>
        <v>4.0370809527348346E-4</v>
      </c>
      <c r="O219" s="62"/>
      <c r="P219" s="22" t="str">
        <f t="shared" si="264"/>
        <v>06.03</v>
      </c>
      <c r="Q219" s="48"/>
      <c r="R219" s="48"/>
    </row>
    <row r="220" spans="1:18" s="113" customFormat="1" ht="26.25" thickBot="1">
      <c r="A220" s="224" t="s">
        <v>389</v>
      </c>
      <c r="B220" s="49" t="s">
        <v>30</v>
      </c>
      <c r="C220" s="49">
        <v>88489</v>
      </c>
      <c r="D220" s="76" t="str">
        <f>VLOOKUP(C220,'Fonte Cotação'!B:E,2,0)</f>
        <v>Aplicação Manual De Pintura Com Tinta Látex Acrílica Em Paredes, Duas Demãos. Af_06/2014</v>
      </c>
      <c r="E220" s="49" t="s">
        <v>71</v>
      </c>
      <c r="F220" s="191">
        <f>IFERROR(VLOOKUP(C220,LEVANTAMENTO!$C$11:$K$104,$F$210,0),"0")</f>
        <v>160.09500000000003</v>
      </c>
      <c r="G220" s="52">
        <f>VLOOKUP(C220,'Fonte Cotação'!B:E,3,0)</f>
        <v>10.09</v>
      </c>
      <c r="H220" s="52">
        <f>VLOOKUP(C220,'Fonte Cotação'!B:E,4,0)</f>
        <v>3.57</v>
      </c>
      <c r="I220" s="50">
        <f t="shared" si="271"/>
        <v>12.61</v>
      </c>
      <c r="J220" s="50">
        <f t="shared" si="272"/>
        <v>4.46</v>
      </c>
      <c r="K220" s="50">
        <f t="shared" si="273"/>
        <v>2018.8</v>
      </c>
      <c r="L220" s="50">
        <f t="shared" si="274"/>
        <v>714.02</v>
      </c>
      <c r="M220" s="214">
        <f t="shared" si="275"/>
        <v>2732.8199999999997</v>
      </c>
      <c r="N220" s="58">
        <f t="shared" si="276"/>
        <v>1.0104053090258091E-2</v>
      </c>
      <c r="O220" s="62"/>
      <c r="P220" s="22" t="str">
        <f t="shared" si="264"/>
        <v>06.03</v>
      </c>
      <c r="Q220" s="48"/>
      <c r="R220" s="48"/>
    </row>
    <row r="221" spans="1:18" s="113" customFormat="1" ht="13.5" thickBot="1">
      <c r="A221" s="224" t="s">
        <v>390</v>
      </c>
      <c r="B221" s="49"/>
      <c r="C221" s="49"/>
      <c r="D221" s="197" t="s">
        <v>162</v>
      </c>
      <c r="E221" s="49"/>
      <c r="F221" s="191"/>
      <c r="G221" s="52"/>
      <c r="H221" s="52"/>
      <c r="I221" s="52"/>
      <c r="J221" s="52"/>
      <c r="K221" s="50"/>
      <c r="L221" s="50"/>
      <c r="M221" s="214"/>
      <c r="N221" s="58"/>
      <c r="O221" s="62"/>
      <c r="P221" s="22"/>
      <c r="Q221" s="48"/>
      <c r="R221" s="48"/>
    </row>
    <row r="222" spans="1:18" s="113" customFormat="1" ht="13.5" thickBot="1">
      <c r="A222" s="224" t="s">
        <v>391</v>
      </c>
      <c r="B222" s="49" t="s">
        <v>30</v>
      </c>
      <c r="C222" s="49">
        <v>99803</v>
      </c>
      <c r="D222" s="76" t="str">
        <f>VLOOKUP(C222,'Fonte Cotação'!B:E,2,0)</f>
        <v>Limpeza De Piso Cerâmico Ou Porcelanato Com Vassoura A Seco. Af_04/2019</v>
      </c>
      <c r="E222" s="49" t="s">
        <v>71</v>
      </c>
      <c r="F222" s="191">
        <f>IFERROR(VLOOKUP(C222,LEVANTAMENTO!$C$11:$K$104,$F$210,0),"0")</f>
        <v>0</v>
      </c>
      <c r="G222" s="52">
        <f>VLOOKUP(C222,'Fonte Cotação'!B:E,3,0)</f>
        <v>0.49</v>
      </c>
      <c r="H222" s="52">
        <f>VLOOKUP(C222,'Fonte Cotação'!B:E,4,0)</f>
        <v>1.1499999999999999</v>
      </c>
      <c r="I222" s="50">
        <f t="shared" ref="I222:I223" si="277">ROUND(G222*(1+$G$3),2)</f>
        <v>0.61</v>
      </c>
      <c r="J222" s="50">
        <f t="shared" ref="J222:J223" si="278">ROUND(H222*(1+$G$3),2)</f>
        <v>1.44</v>
      </c>
      <c r="K222" s="50">
        <f t="shared" ref="K222:K223" si="279">ROUND(F222*I222,2)</f>
        <v>0</v>
      </c>
      <c r="L222" s="50">
        <f t="shared" ref="L222:L223" si="280">ROUND(F222*J222,2)</f>
        <v>0</v>
      </c>
      <c r="M222" s="214">
        <f t="shared" ref="M222:M223" si="281">K222+L222</f>
        <v>0</v>
      </c>
      <c r="N222" s="58">
        <f t="shared" ref="N222:N223" si="282">IF(M222&gt;=0,M222/$N$5,"")</f>
        <v>0</v>
      </c>
      <c r="O222" s="62"/>
      <c r="P222" s="22" t="str">
        <f t="shared" si="264"/>
        <v>06.04</v>
      </c>
      <c r="Q222" s="48"/>
      <c r="R222" s="48"/>
    </row>
    <row r="223" spans="1:18" s="113" customFormat="1" ht="13.5" thickBot="1">
      <c r="A223" s="224" t="s">
        <v>392</v>
      </c>
      <c r="B223" s="49" t="s">
        <v>30</v>
      </c>
      <c r="C223" s="49">
        <v>88037</v>
      </c>
      <c r="D223" s="76" t="str">
        <f>VLOOKUP(C223,'Fonte Cotação'!B:E,2,0)</f>
        <v>Transporte Horizontal, Massa/Granel, Jerica 90L, 50M. Af_06/2014</v>
      </c>
      <c r="E223" s="49" t="s">
        <v>167</v>
      </c>
      <c r="F223" s="191">
        <f>IFERROR(VLOOKUP(C223,LEVANTAMENTO!$C$11:$K$104,$F$210,0),"0")</f>
        <v>0.54500000000000004</v>
      </c>
      <c r="G223" s="52">
        <f>VLOOKUP(C223,'Fonte Cotação'!B:E,3,0)</f>
        <v>13.79</v>
      </c>
      <c r="H223" s="52">
        <f>VLOOKUP(C223,'Fonte Cotação'!B:E,4,0)</f>
        <v>27.32</v>
      </c>
      <c r="I223" s="50">
        <f t="shared" si="277"/>
        <v>17.23</v>
      </c>
      <c r="J223" s="50">
        <f t="shared" si="278"/>
        <v>34.14</v>
      </c>
      <c r="K223" s="50">
        <f t="shared" si="279"/>
        <v>9.39</v>
      </c>
      <c r="L223" s="50">
        <f t="shared" si="280"/>
        <v>18.61</v>
      </c>
      <c r="M223" s="214">
        <f t="shared" si="281"/>
        <v>28</v>
      </c>
      <c r="N223" s="58">
        <f t="shared" si="282"/>
        <v>1.0352437647822637E-4</v>
      </c>
      <c r="O223" s="62"/>
      <c r="P223" s="22" t="str">
        <f t="shared" si="264"/>
        <v>06.04</v>
      </c>
      <c r="Q223" s="48"/>
      <c r="R223" s="48"/>
    </row>
    <row r="224" spans="1:18" s="113" customFormat="1" ht="13.5" thickBot="1">
      <c r="A224" s="224" t="s">
        <v>393</v>
      </c>
      <c r="B224" s="49"/>
      <c r="C224" s="49"/>
      <c r="D224" s="197" t="s">
        <v>175</v>
      </c>
      <c r="E224" s="49"/>
      <c r="F224" s="191"/>
      <c r="G224" s="52"/>
      <c r="H224" s="52"/>
      <c r="I224" s="52"/>
      <c r="J224" s="52"/>
      <c r="K224" s="50"/>
      <c r="L224" s="50"/>
      <c r="M224" s="214"/>
      <c r="N224" s="58"/>
      <c r="O224" s="62"/>
      <c r="P224" s="22"/>
      <c r="Q224" s="48"/>
      <c r="R224" s="48"/>
    </row>
    <row r="225" spans="1:18" s="113" customFormat="1" ht="64.5" thickBot="1">
      <c r="A225" s="224" t="s">
        <v>394</v>
      </c>
      <c r="B225" s="49" t="s">
        <v>58</v>
      </c>
      <c r="C225" s="49" t="s">
        <v>217</v>
      </c>
      <c r="D225" s="76" t="str">
        <f>VLOOKUP(C225,'Fonte Cotação'!B:E,2,0)</f>
        <v>PM - 1' - 0,82x2,10m - Porta semi-oca,  com visor em vidro incolor 4mm dim 50x80cm,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  <c r="E225" s="49" t="s">
        <v>171</v>
      </c>
      <c r="F225" s="191">
        <f>IFERROR(VLOOKUP(C225,LEVANTAMENTO!$C$11:$K$104,$F$210,0),"0")</f>
        <v>1</v>
      </c>
      <c r="G225" s="52">
        <f>VLOOKUP(C225,'Fonte Cotação'!B:E,3,0)</f>
        <v>1993</v>
      </c>
      <c r="H225" s="52">
        <f>VLOOKUP(C225,'Fonte Cotação'!B:E,4,0)</f>
        <v>744</v>
      </c>
      <c r="I225" s="50">
        <f t="shared" ref="I225" si="283">ROUND(G225*(1+$G$3),2)</f>
        <v>2490.62</v>
      </c>
      <c r="J225" s="50">
        <f t="shared" ref="J225" si="284">ROUND(H225*(1+$G$3),2)</f>
        <v>929.77</v>
      </c>
      <c r="K225" s="50">
        <f t="shared" ref="K225" si="285">ROUND(F225*I225,2)</f>
        <v>2490.62</v>
      </c>
      <c r="L225" s="50">
        <f t="shared" ref="L225" si="286">ROUND(F225*J225,2)</f>
        <v>929.77</v>
      </c>
      <c r="M225" s="214">
        <f t="shared" ref="M225" si="287">K225+L225</f>
        <v>3420.39</v>
      </c>
      <c r="N225" s="58">
        <f t="shared" ref="N225" si="288">IF(M225&gt;=0,M225/$N$5,"")</f>
        <v>1.2646205073655738E-2</v>
      </c>
      <c r="O225" s="62"/>
      <c r="P225" s="22" t="str">
        <f t="shared" si="264"/>
        <v>06.05</v>
      </c>
      <c r="Q225" s="48"/>
      <c r="R225" s="48"/>
    </row>
    <row r="226" spans="1:18" s="113" customFormat="1" ht="13.5" thickBot="1">
      <c r="A226" s="224" t="s">
        <v>395</v>
      </c>
      <c r="B226" s="49"/>
      <c r="C226" s="49"/>
      <c r="D226" s="197" t="s">
        <v>182</v>
      </c>
      <c r="E226" s="49"/>
      <c r="F226" s="191"/>
      <c r="G226" s="52"/>
      <c r="H226" s="52"/>
      <c r="I226" s="52"/>
      <c r="J226" s="52"/>
      <c r="K226" s="50"/>
      <c r="L226" s="50"/>
      <c r="M226" s="214"/>
      <c r="N226" s="58"/>
      <c r="O226" s="62"/>
      <c r="P226" s="22"/>
      <c r="Q226" s="48"/>
      <c r="R226" s="48"/>
    </row>
    <row r="227" spans="1:18" s="113" customFormat="1" ht="13.5" thickBot="1">
      <c r="A227" s="224" t="s">
        <v>396</v>
      </c>
      <c r="B227" s="49" t="s">
        <v>58</v>
      </c>
      <c r="C227" s="49" t="s">
        <v>222</v>
      </c>
      <c r="D227" s="76" t="str">
        <f>VLOOKUP(C227,'Fonte Cotação'!B:E,2,0)</f>
        <v>Rodapé em WPC, cor branca, h=7cm e=1,5cm. Ref: Ecovale ou similar</v>
      </c>
      <c r="E227" s="49" t="s">
        <v>75</v>
      </c>
      <c r="F227" s="191">
        <f>IFERROR(VLOOKUP(C227,LEVANTAMENTO!$C$11:$K$104,$F$210,0),"0")</f>
        <v>15.32</v>
      </c>
      <c r="G227" s="52">
        <f>VLOOKUP(C227,'Fonte Cotação'!B:E,3,0)</f>
        <v>3.6</v>
      </c>
      <c r="H227" s="52">
        <f>VLOOKUP(C227,'Fonte Cotação'!B:E,4,0)</f>
        <v>1</v>
      </c>
      <c r="I227" s="50">
        <f t="shared" ref="I227" si="289">ROUND(G227*(1+$G$3),2)</f>
        <v>4.5</v>
      </c>
      <c r="J227" s="50">
        <f t="shared" ref="J227" si="290">ROUND(H227*(1+$G$3),2)</f>
        <v>1.25</v>
      </c>
      <c r="K227" s="50">
        <f t="shared" ref="K227" si="291">ROUND(F227*I227,2)</f>
        <v>68.94</v>
      </c>
      <c r="L227" s="50">
        <f t="shared" ref="L227" si="292">ROUND(F227*J227,2)</f>
        <v>19.149999999999999</v>
      </c>
      <c r="M227" s="214">
        <f t="shared" ref="M227" si="293">K227+L227</f>
        <v>88.09</v>
      </c>
      <c r="N227" s="58">
        <f t="shared" ref="N227" si="294">IF(M227&gt;=0,M227/$N$5,"")</f>
        <v>3.2569508299882003E-4</v>
      </c>
      <c r="O227" s="62"/>
      <c r="P227" s="22" t="str">
        <f t="shared" si="264"/>
        <v>06.06</v>
      </c>
      <c r="Q227" s="48"/>
      <c r="R227" s="48"/>
    </row>
    <row r="228" spans="1:18" s="251" customFormat="1" ht="13.5" thickBot="1">
      <c r="A228" s="224" t="s">
        <v>727</v>
      </c>
      <c r="B228" s="49"/>
      <c r="C228" s="49"/>
      <c r="D228" s="197" t="s">
        <v>706</v>
      </c>
      <c r="E228" s="49"/>
      <c r="F228" s="191"/>
      <c r="G228" s="52"/>
      <c r="H228" s="52"/>
      <c r="I228" s="50"/>
      <c r="J228" s="50"/>
      <c r="K228" s="50"/>
      <c r="L228" s="50"/>
      <c r="M228" s="214"/>
      <c r="N228" s="77"/>
      <c r="O228" s="62"/>
      <c r="P228" s="22"/>
      <c r="Q228" s="48"/>
      <c r="R228" s="48"/>
    </row>
    <row r="229" spans="1:18" s="251" customFormat="1" ht="26.25" thickBot="1">
      <c r="A229" s="224" t="s">
        <v>729</v>
      </c>
      <c r="B229" s="49" t="s">
        <v>471</v>
      </c>
      <c r="C229" s="49">
        <v>4</v>
      </c>
      <c r="D229" s="76" t="s">
        <v>473</v>
      </c>
      <c r="E229" s="49" t="s">
        <v>44</v>
      </c>
      <c r="F229" s="191">
        <f>0+1</f>
        <v>1</v>
      </c>
      <c r="G229" s="52">
        <f>'Composições elétrica'!I$49</f>
        <v>0</v>
      </c>
      <c r="H229" s="52">
        <f>'Composições elétrica'!J$49</f>
        <v>6.1880000000000006</v>
      </c>
      <c r="I229" s="50">
        <f t="shared" ref="I229" si="295">ROUND(G229*(1+$G$3),2)</f>
        <v>0</v>
      </c>
      <c r="J229" s="50">
        <f t="shared" ref="J229" si="296">ROUND(H229*(1+$G$3),2)</f>
        <v>7.73</v>
      </c>
      <c r="K229" s="50">
        <f t="shared" ref="K229" si="297">ROUND(F229*I229,2)</f>
        <v>0</v>
      </c>
      <c r="L229" s="50">
        <f t="shared" ref="L229" si="298">ROUND(F229*J229,2)</f>
        <v>7.73</v>
      </c>
      <c r="M229" s="214">
        <f t="shared" ref="M229" si="299">K229+L229</f>
        <v>7.73</v>
      </c>
      <c r="N229" s="58">
        <f t="shared" ref="N229" si="300">IF(M229&gt;=0,M229/$N$5,"")</f>
        <v>2.8580122506310354E-5</v>
      </c>
      <c r="O229" s="62"/>
      <c r="P229" s="22"/>
      <c r="Q229" s="48"/>
      <c r="R229" s="48"/>
    </row>
    <row r="230" spans="1:18" s="251" customFormat="1" ht="13.5" thickBot="1">
      <c r="A230" s="224" t="s">
        <v>730</v>
      </c>
      <c r="B230" s="49" t="s">
        <v>439</v>
      </c>
      <c r="C230" s="49">
        <v>97661</v>
      </c>
      <c r="D230" s="76" t="s">
        <v>728</v>
      </c>
      <c r="E230" s="49" t="s">
        <v>75</v>
      </c>
      <c r="F230" s="191">
        <v>10</v>
      </c>
      <c r="G230" s="52">
        <v>0</v>
      </c>
      <c r="H230" s="359"/>
      <c r="I230" s="50">
        <f t="shared" ref="I230:I243" si="301">ROUND(G230*(1+$G$3),2)</f>
        <v>0</v>
      </c>
      <c r="J230" s="50">
        <f t="shared" ref="J230:J243" si="302">ROUND(H230*(1+$G$3),2)</f>
        <v>0</v>
      </c>
      <c r="K230" s="50">
        <f t="shared" ref="K230:K243" si="303">ROUND(F230*I230,2)</f>
        <v>0</v>
      </c>
      <c r="L230" s="50">
        <f t="shared" ref="L230:L243" si="304">ROUND(F230*J230,2)</f>
        <v>0</v>
      </c>
      <c r="M230" s="214">
        <f t="shared" ref="M230:M243" si="305">K230+L230</f>
        <v>0</v>
      </c>
      <c r="N230" s="58">
        <f t="shared" ref="N230:N243" si="306">IF(M230&gt;=0,M230/$N$5,"")</f>
        <v>0</v>
      </c>
      <c r="O230" s="62"/>
      <c r="P230" s="22"/>
      <c r="Q230" s="48"/>
      <c r="R230" s="48"/>
    </row>
    <row r="231" spans="1:18" s="251" customFormat="1" ht="13.5" thickBot="1">
      <c r="A231" s="224" t="s">
        <v>731</v>
      </c>
      <c r="B231" s="49" t="s">
        <v>471</v>
      </c>
      <c r="C231" s="49">
        <v>6</v>
      </c>
      <c r="D231" s="76" t="s">
        <v>476</v>
      </c>
      <c r="E231" s="49" t="s">
        <v>44</v>
      </c>
      <c r="F231" s="191">
        <v>6</v>
      </c>
      <c r="G231" s="52">
        <f>'Composições elétrica'!I$54</f>
        <v>0</v>
      </c>
      <c r="H231" s="52">
        <f>'Composições elétrica'!J$54</f>
        <v>8.84</v>
      </c>
      <c r="I231" s="50">
        <f t="shared" si="301"/>
        <v>0</v>
      </c>
      <c r="J231" s="50">
        <f t="shared" si="302"/>
        <v>11.05</v>
      </c>
      <c r="K231" s="50">
        <f t="shared" si="303"/>
        <v>0</v>
      </c>
      <c r="L231" s="50">
        <f t="shared" si="304"/>
        <v>66.3</v>
      </c>
      <c r="M231" s="214">
        <f t="shared" si="305"/>
        <v>66.3</v>
      </c>
      <c r="N231" s="58">
        <f t="shared" si="306"/>
        <v>2.4513093430380027E-4</v>
      </c>
      <c r="O231" s="62"/>
      <c r="P231" s="22"/>
      <c r="Q231" s="48"/>
      <c r="R231" s="48"/>
    </row>
    <row r="232" spans="1:18" s="251" customFormat="1" ht="13.5" thickBot="1">
      <c r="A232" s="224" t="s">
        <v>732</v>
      </c>
      <c r="B232" s="49" t="s">
        <v>471</v>
      </c>
      <c r="C232" s="49">
        <v>13</v>
      </c>
      <c r="D232" s="76" t="s">
        <v>576</v>
      </c>
      <c r="E232" s="49" t="s">
        <v>75</v>
      </c>
      <c r="F232" s="191">
        <v>50</v>
      </c>
      <c r="G232" s="52">
        <f>'Composições elétrica'!I$59</f>
        <v>2.7607999999999997</v>
      </c>
      <c r="H232" s="52">
        <f>'Composições elétrica'!J$59</f>
        <v>1.3516499999999998</v>
      </c>
      <c r="I232" s="50">
        <f t="shared" si="301"/>
        <v>3.45</v>
      </c>
      <c r="J232" s="50">
        <f t="shared" si="302"/>
        <v>1.69</v>
      </c>
      <c r="K232" s="50">
        <f t="shared" si="303"/>
        <v>172.5</v>
      </c>
      <c r="L232" s="50">
        <f t="shared" si="304"/>
        <v>84.5</v>
      </c>
      <c r="M232" s="214">
        <f t="shared" si="305"/>
        <v>257</v>
      </c>
      <c r="N232" s="58">
        <f t="shared" si="306"/>
        <v>9.5020588410372065E-4</v>
      </c>
      <c r="O232" s="62"/>
      <c r="P232" s="22"/>
      <c r="Q232" s="48"/>
      <c r="R232" s="48"/>
    </row>
    <row r="233" spans="1:18" s="251" customFormat="1" ht="13.5" thickBot="1">
      <c r="A233" s="224" t="s">
        <v>733</v>
      </c>
      <c r="B233" s="49" t="s">
        <v>471</v>
      </c>
      <c r="C233" s="49">
        <v>14</v>
      </c>
      <c r="D233" s="76" t="s">
        <v>582</v>
      </c>
      <c r="E233" s="49" t="s">
        <v>75</v>
      </c>
      <c r="F233" s="191">
        <v>200</v>
      </c>
      <c r="G233" s="52">
        <f>'Composições elétrica'!I$66</f>
        <v>4.9504000000000001</v>
      </c>
      <c r="H233" s="52">
        <f>'Composições elétrica'!J$66</f>
        <v>1.79365</v>
      </c>
      <c r="I233" s="50">
        <f t="shared" si="301"/>
        <v>6.19</v>
      </c>
      <c r="J233" s="50">
        <f t="shared" si="302"/>
        <v>2.2400000000000002</v>
      </c>
      <c r="K233" s="50">
        <f t="shared" si="303"/>
        <v>1238</v>
      </c>
      <c r="L233" s="50">
        <f t="shared" si="304"/>
        <v>448</v>
      </c>
      <c r="M233" s="214">
        <f t="shared" si="305"/>
        <v>1686</v>
      </c>
      <c r="N233" s="58">
        <f t="shared" si="306"/>
        <v>6.2336463836532019E-3</v>
      </c>
      <c r="O233" s="62"/>
      <c r="P233" s="22"/>
      <c r="Q233" s="48"/>
      <c r="R233" s="48"/>
    </row>
    <row r="234" spans="1:18" s="251" customFormat="1" ht="13.5" thickBot="1">
      <c r="A234" s="224" t="s">
        <v>734</v>
      </c>
      <c r="B234" s="49" t="s">
        <v>471</v>
      </c>
      <c r="C234" s="49" t="s">
        <v>640</v>
      </c>
      <c r="D234" s="76" t="s">
        <v>624</v>
      </c>
      <c r="E234" s="49" t="s">
        <v>44</v>
      </c>
      <c r="F234" s="191">
        <v>12</v>
      </c>
      <c r="G234" s="52">
        <f>'Composições elétrica'!I$87</f>
        <v>2.5299999999999998</v>
      </c>
      <c r="H234" s="52">
        <f>'Composições elétrica'!J$87</f>
        <v>2.2177759999999997</v>
      </c>
      <c r="I234" s="50">
        <f t="shared" si="301"/>
        <v>3.16</v>
      </c>
      <c r="J234" s="50">
        <f t="shared" si="302"/>
        <v>2.77</v>
      </c>
      <c r="K234" s="50">
        <f t="shared" si="303"/>
        <v>37.92</v>
      </c>
      <c r="L234" s="50">
        <f t="shared" si="304"/>
        <v>33.24</v>
      </c>
      <c r="M234" s="214">
        <f t="shared" si="305"/>
        <v>71.16</v>
      </c>
      <c r="N234" s="58">
        <f t="shared" si="306"/>
        <v>2.6309980822109241E-4</v>
      </c>
      <c r="O234" s="62"/>
      <c r="P234" s="22"/>
      <c r="Q234" s="48"/>
      <c r="R234" s="48"/>
    </row>
    <row r="235" spans="1:18" s="251" customFormat="1" ht="26.25" thickBot="1">
      <c r="A235" s="224" t="s">
        <v>735</v>
      </c>
      <c r="B235" s="49" t="s">
        <v>471</v>
      </c>
      <c r="C235" s="49" t="s">
        <v>581</v>
      </c>
      <c r="D235" s="76" t="s">
        <v>586</v>
      </c>
      <c r="E235" s="49" t="s">
        <v>44</v>
      </c>
      <c r="F235" s="191">
        <v>36</v>
      </c>
      <c r="G235" s="52">
        <f>'Composições elétrica'!I$98</f>
        <v>46.59</v>
      </c>
      <c r="H235" s="52">
        <f>'Composições elétrica'!J$98</f>
        <v>24.296847999999997</v>
      </c>
      <c r="I235" s="50">
        <f t="shared" si="301"/>
        <v>58.22</v>
      </c>
      <c r="J235" s="50">
        <f t="shared" si="302"/>
        <v>30.36</v>
      </c>
      <c r="K235" s="50">
        <f t="shared" si="303"/>
        <v>2095.92</v>
      </c>
      <c r="L235" s="50">
        <f t="shared" si="304"/>
        <v>1092.96</v>
      </c>
      <c r="M235" s="214">
        <f t="shared" si="305"/>
        <v>3188.88</v>
      </c>
      <c r="N235" s="58">
        <f t="shared" si="306"/>
        <v>1.1790243345138804E-2</v>
      </c>
      <c r="O235" s="62"/>
      <c r="P235" s="22"/>
      <c r="Q235" s="48"/>
      <c r="R235" s="48"/>
    </row>
    <row r="236" spans="1:18" s="251" customFormat="1" ht="26.25" thickBot="1">
      <c r="A236" s="224" t="s">
        <v>736</v>
      </c>
      <c r="B236" s="49" t="s">
        <v>471</v>
      </c>
      <c r="C236" s="49" t="s">
        <v>584</v>
      </c>
      <c r="D236" s="76" t="s">
        <v>588</v>
      </c>
      <c r="E236" s="49" t="s">
        <v>44</v>
      </c>
      <c r="F236" s="191">
        <v>20</v>
      </c>
      <c r="G236" s="52">
        <f>'Composições elétrica'!I$105</f>
        <v>65.25</v>
      </c>
      <c r="H236" s="52">
        <f>'Composições elétrica'!J$105</f>
        <v>7.6510200000000008</v>
      </c>
      <c r="I236" s="50">
        <f t="shared" si="301"/>
        <v>81.540000000000006</v>
      </c>
      <c r="J236" s="50">
        <f t="shared" si="302"/>
        <v>9.56</v>
      </c>
      <c r="K236" s="50">
        <f t="shared" si="303"/>
        <v>1630.8</v>
      </c>
      <c r="L236" s="50">
        <f t="shared" si="304"/>
        <v>191.2</v>
      </c>
      <c r="M236" s="214">
        <f t="shared" si="305"/>
        <v>1822</v>
      </c>
      <c r="N236" s="58">
        <f t="shared" si="306"/>
        <v>6.7364790694045872E-3</v>
      </c>
      <c r="O236" s="62"/>
      <c r="P236" s="22"/>
      <c r="Q236" s="48"/>
      <c r="R236" s="48"/>
    </row>
    <row r="237" spans="1:18" s="251" customFormat="1" ht="26.25" thickBot="1">
      <c r="A237" s="224" t="s">
        <v>737</v>
      </c>
      <c r="B237" s="49" t="s">
        <v>471</v>
      </c>
      <c r="C237" s="49">
        <v>34</v>
      </c>
      <c r="D237" s="76" t="s">
        <v>669</v>
      </c>
      <c r="E237" s="49" t="s">
        <v>44</v>
      </c>
      <c r="F237" s="191">
        <f>0+1</f>
        <v>1</v>
      </c>
      <c r="G237" s="52">
        <v>0</v>
      </c>
      <c r="H237" s="52">
        <f>'Composições elétrica'!J$119</f>
        <v>9.9450000000000003</v>
      </c>
      <c r="I237" s="50">
        <f t="shared" si="301"/>
        <v>0</v>
      </c>
      <c r="J237" s="50">
        <f t="shared" si="302"/>
        <v>12.43</v>
      </c>
      <c r="K237" s="50">
        <f t="shared" si="303"/>
        <v>0</v>
      </c>
      <c r="L237" s="50">
        <f t="shared" si="304"/>
        <v>12.43</v>
      </c>
      <c r="M237" s="214">
        <f t="shared" si="305"/>
        <v>12.43</v>
      </c>
      <c r="N237" s="58">
        <f t="shared" si="306"/>
        <v>4.5957428558012632E-5</v>
      </c>
      <c r="O237" s="62"/>
      <c r="P237" s="22"/>
      <c r="Q237" s="48"/>
      <c r="R237" s="48"/>
    </row>
    <row r="238" spans="1:18" s="251" customFormat="1" ht="26.25" thickBot="1">
      <c r="A238" s="224" t="s">
        <v>738</v>
      </c>
      <c r="B238" s="49" t="s">
        <v>471</v>
      </c>
      <c r="C238" s="49">
        <v>45</v>
      </c>
      <c r="D238" s="110" t="s">
        <v>628</v>
      </c>
      <c r="E238" s="99" t="s">
        <v>44</v>
      </c>
      <c r="F238" s="191">
        <v>6</v>
      </c>
      <c r="G238" s="52">
        <f>'Composições elétrica'!I$148</f>
        <v>18.38</v>
      </c>
      <c r="H238" s="52">
        <f>'Composições elétrica'!J$148</f>
        <v>1.8998000000000002</v>
      </c>
      <c r="I238" s="50">
        <f t="shared" si="301"/>
        <v>22.97</v>
      </c>
      <c r="J238" s="50">
        <f t="shared" si="302"/>
        <v>2.37</v>
      </c>
      <c r="K238" s="50">
        <f t="shared" si="303"/>
        <v>137.82</v>
      </c>
      <c r="L238" s="50">
        <f t="shared" si="304"/>
        <v>14.22</v>
      </c>
      <c r="M238" s="214">
        <f t="shared" si="305"/>
        <v>152.04</v>
      </c>
      <c r="N238" s="58">
        <f t="shared" si="306"/>
        <v>5.6213736427676922E-4</v>
      </c>
      <c r="O238" s="62"/>
      <c r="P238" s="22"/>
      <c r="Q238" s="48"/>
      <c r="R238" s="48"/>
    </row>
    <row r="239" spans="1:18" s="251" customFormat="1" ht="26.25" thickBot="1">
      <c r="A239" s="224" t="s">
        <v>739</v>
      </c>
      <c r="B239" s="49" t="s">
        <v>471</v>
      </c>
      <c r="C239" s="49">
        <v>48</v>
      </c>
      <c r="D239" s="110" t="s">
        <v>595</v>
      </c>
      <c r="E239" s="49" t="s">
        <v>44</v>
      </c>
      <c r="F239" s="191">
        <v>3</v>
      </c>
      <c r="G239" s="52">
        <f>'Composições elétrica'!I$160</f>
        <v>90.07</v>
      </c>
      <c r="H239" s="52">
        <f>'Composições elétrica'!J$160</f>
        <v>20.035210599999999</v>
      </c>
      <c r="I239" s="50">
        <f t="shared" si="301"/>
        <v>112.56</v>
      </c>
      <c r="J239" s="50">
        <f t="shared" si="302"/>
        <v>25.04</v>
      </c>
      <c r="K239" s="50">
        <f t="shared" si="303"/>
        <v>337.68</v>
      </c>
      <c r="L239" s="50">
        <f t="shared" si="304"/>
        <v>75.12</v>
      </c>
      <c r="M239" s="214">
        <f t="shared" si="305"/>
        <v>412.8</v>
      </c>
      <c r="N239" s="58">
        <f t="shared" si="306"/>
        <v>1.5262450932218518E-3</v>
      </c>
      <c r="O239" s="62"/>
      <c r="P239" s="22"/>
      <c r="Q239" s="48"/>
      <c r="R239" s="48"/>
    </row>
    <row r="240" spans="1:18" s="251" customFormat="1" ht="26.25" thickBot="1">
      <c r="A240" s="224" t="s">
        <v>740</v>
      </c>
      <c r="B240" s="49" t="s">
        <v>471</v>
      </c>
      <c r="C240" s="49">
        <v>77</v>
      </c>
      <c r="D240" s="76" t="s">
        <v>596</v>
      </c>
      <c r="E240" s="49" t="s">
        <v>75</v>
      </c>
      <c r="F240" s="191">
        <v>620</v>
      </c>
      <c r="G240" s="52">
        <f>'Composições elétrica'!I$173</f>
        <v>2.4569999999999999</v>
      </c>
      <c r="H240" s="52">
        <f>'Composições elétrica'!J$173</f>
        <v>1.1889799999999999</v>
      </c>
      <c r="I240" s="50">
        <f t="shared" si="301"/>
        <v>3.07</v>
      </c>
      <c r="J240" s="50">
        <f t="shared" si="302"/>
        <v>1.49</v>
      </c>
      <c r="K240" s="50">
        <f t="shared" si="303"/>
        <v>1903.4</v>
      </c>
      <c r="L240" s="50">
        <f t="shared" si="304"/>
        <v>923.8</v>
      </c>
      <c r="M240" s="214">
        <f t="shared" si="305"/>
        <v>2827.2</v>
      </c>
      <c r="N240" s="58">
        <f t="shared" si="306"/>
        <v>1.0453004184972914E-2</v>
      </c>
      <c r="O240" s="62"/>
      <c r="P240" s="22"/>
      <c r="Q240" s="48"/>
      <c r="R240" s="48"/>
    </row>
    <row r="241" spans="1:18" s="251" customFormat="1" ht="39" thickBot="1">
      <c r="A241" s="224" t="s">
        <v>741</v>
      </c>
      <c r="B241" s="49" t="s">
        <v>471</v>
      </c>
      <c r="C241" s="49">
        <v>108</v>
      </c>
      <c r="D241" s="76" t="s">
        <v>599</v>
      </c>
      <c r="E241" s="49" t="s">
        <v>75</v>
      </c>
      <c r="F241" s="191">
        <v>36</v>
      </c>
      <c r="G241" s="52">
        <f>'Composições elétrica'!I$258</f>
        <v>101.74066666666668</v>
      </c>
      <c r="H241" s="52">
        <f>'Composições elétrica'!J$258</f>
        <v>11.492000000000001</v>
      </c>
      <c r="I241" s="50">
        <f t="shared" si="301"/>
        <v>127.14</v>
      </c>
      <c r="J241" s="50">
        <f t="shared" si="302"/>
        <v>14.36</v>
      </c>
      <c r="K241" s="50">
        <f t="shared" si="303"/>
        <v>4577.04</v>
      </c>
      <c r="L241" s="50">
        <f t="shared" si="304"/>
        <v>516.96</v>
      </c>
      <c r="M241" s="214">
        <f t="shared" si="305"/>
        <v>5094</v>
      </c>
      <c r="N241" s="58">
        <f t="shared" si="306"/>
        <v>1.8834041920717325E-2</v>
      </c>
      <c r="O241" s="62"/>
      <c r="P241" s="22"/>
      <c r="Q241" s="48"/>
      <c r="R241" s="48"/>
    </row>
    <row r="242" spans="1:18" s="252" customFormat="1" ht="26.25" thickBot="1">
      <c r="A242" s="224" t="s">
        <v>742</v>
      </c>
      <c r="B242" s="49" t="s">
        <v>471</v>
      </c>
      <c r="C242" s="49">
        <v>109</v>
      </c>
      <c r="D242" s="76" t="s">
        <v>600</v>
      </c>
      <c r="E242" s="49" t="s">
        <v>75</v>
      </c>
      <c r="F242" s="191">
        <v>7</v>
      </c>
      <c r="G242" s="52">
        <f>'Composições elétrica'!I$267</f>
        <v>7.49</v>
      </c>
      <c r="H242" s="52">
        <f>'Composições elétrica'!J$267</f>
        <v>1.7679999999999998</v>
      </c>
      <c r="I242" s="50">
        <f t="shared" si="301"/>
        <v>9.36</v>
      </c>
      <c r="J242" s="50">
        <f t="shared" si="302"/>
        <v>2.21</v>
      </c>
      <c r="K242" s="50">
        <f t="shared" si="303"/>
        <v>65.52</v>
      </c>
      <c r="L242" s="50">
        <f t="shared" si="304"/>
        <v>15.47</v>
      </c>
      <c r="M242" s="214">
        <f t="shared" si="305"/>
        <v>80.989999999999995</v>
      </c>
      <c r="N242" s="58">
        <f t="shared" si="306"/>
        <v>2.9944425896326977E-4</v>
      </c>
      <c r="O242" s="62"/>
      <c r="P242" s="22"/>
      <c r="Q242" s="48"/>
      <c r="R242" s="48"/>
    </row>
    <row r="243" spans="1:18" s="252" customFormat="1" ht="26.25" thickBot="1">
      <c r="A243" s="224" t="s">
        <v>770</v>
      </c>
      <c r="B243" s="49" t="s">
        <v>471</v>
      </c>
      <c r="C243" s="49">
        <v>111</v>
      </c>
      <c r="D243" s="76" t="s">
        <v>682</v>
      </c>
      <c r="E243" s="49" t="s">
        <v>44</v>
      </c>
      <c r="F243" s="191">
        <v>4</v>
      </c>
      <c r="G243" s="52">
        <f>'Composições elétrica'!I$279</f>
        <v>22.95</v>
      </c>
      <c r="H243" s="52">
        <f>'Composições elétrica'!J$279</f>
        <v>7.5140000000000011</v>
      </c>
      <c r="I243" s="50">
        <f t="shared" si="301"/>
        <v>28.68</v>
      </c>
      <c r="J243" s="50">
        <f t="shared" si="302"/>
        <v>9.39</v>
      </c>
      <c r="K243" s="50">
        <f t="shared" si="303"/>
        <v>114.72</v>
      </c>
      <c r="L243" s="50">
        <f t="shared" si="304"/>
        <v>37.56</v>
      </c>
      <c r="M243" s="214">
        <f t="shared" si="305"/>
        <v>152.28</v>
      </c>
      <c r="N243" s="58">
        <f t="shared" si="306"/>
        <v>5.63024716075154E-4</v>
      </c>
      <c r="O243" s="62"/>
      <c r="P243" s="22"/>
      <c r="Q243" s="48"/>
      <c r="R243" s="48"/>
    </row>
    <row r="244" spans="1:18" s="252" customFormat="1" ht="26.25" thickBot="1">
      <c r="A244" s="224" t="s">
        <v>771</v>
      </c>
      <c r="B244" s="49" t="s">
        <v>471</v>
      </c>
      <c r="C244" s="49">
        <v>112</v>
      </c>
      <c r="D244" s="110" t="s">
        <v>683</v>
      </c>
      <c r="E244" s="49" t="s">
        <v>44</v>
      </c>
      <c r="F244" s="191">
        <v>2</v>
      </c>
      <c r="G244" s="52">
        <f>'Composições elétrica'!I$285</f>
        <v>22.95</v>
      </c>
      <c r="H244" s="52">
        <f>'Composições elétrica'!J$285</f>
        <v>7.5140000000000011</v>
      </c>
      <c r="I244" s="50">
        <f t="shared" ref="I244:I245" si="307">ROUND(G244*(1+$G$3),2)</f>
        <v>28.68</v>
      </c>
      <c r="J244" s="50">
        <f t="shared" ref="J244:J245" si="308">ROUND(H244*(1+$G$3),2)</f>
        <v>9.39</v>
      </c>
      <c r="K244" s="50">
        <f t="shared" ref="K244:K245" si="309">ROUND(F244*I244,2)</f>
        <v>57.36</v>
      </c>
      <c r="L244" s="50">
        <f t="shared" ref="L244:L245" si="310">ROUND(F244*J244,2)</f>
        <v>18.78</v>
      </c>
      <c r="M244" s="214">
        <f t="shared" ref="M244:M245" si="311">K244+L244</f>
        <v>76.14</v>
      </c>
      <c r="N244" s="58">
        <f t="shared" ref="N244:N245" si="312">IF(M244&gt;=0,M244/$N$5,"")</f>
        <v>2.81512358037577E-4</v>
      </c>
      <c r="O244" s="62"/>
      <c r="P244" s="22"/>
      <c r="Q244" s="48"/>
      <c r="R244" s="48"/>
    </row>
    <row r="245" spans="1:18" s="252" customFormat="1" ht="26.25" thickBot="1">
      <c r="A245" s="224" t="s">
        <v>772</v>
      </c>
      <c r="B245" s="49" t="s">
        <v>471</v>
      </c>
      <c r="C245" s="49">
        <v>113</v>
      </c>
      <c r="D245" s="76" t="s">
        <v>602</v>
      </c>
      <c r="E245" s="49" t="s">
        <v>44</v>
      </c>
      <c r="F245" s="191">
        <v>2</v>
      </c>
      <c r="G245" s="52">
        <f>'Composições elétrica'!I$291</f>
        <v>51.64</v>
      </c>
      <c r="H245" s="52">
        <f>'Composições elétrica'!J$291</f>
        <v>7.5140000000000011</v>
      </c>
      <c r="I245" s="50">
        <f t="shared" si="307"/>
        <v>64.53</v>
      </c>
      <c r="J245" s="50">
        <f t="shared" si="308"/>
        <v>9.39</v>
      </c>
      <c r="K245" s="50">
        <f t="shared" si="309"/>
        <v>129.06</v>
      </c>
      <c r="L245" s="50">
        <f t="shared" si="310"/>
        <v>18.78</v>
      </c>
      <c r="M245" s="214">
        <f t="shared" si="311"/>
        <v>147.84</v>
      </c>
      <c r="N245" s="58">
        <f t="shared" si="312"/>
        <v>5.4660870780503525E-4</v>
      </c>
      <c r="O245" s="62"/>
      <c r="P245" s="22"/>
      <c r="Q245" s="48"/>
      <c r="R245" s="48"/>
    </row>
    <row r="246" spans="1:18" s="114" customFormat="1" ht="13.5" thickBot="1">
      <c r="A246" s="224"/>
      <c r="B246" s="49"/>
      <c r="C246" s="49"/>
      <c r="D246" s="76"/>
      <c r="E246" s="49"/>
      <c r="F246" s="191"/>
      <c r="G246" s="52"/>
      <c r="H246" s="52"/>
      <c r="I246" s="50"/>
      <c r="J246" s="50"/>
      <c r="K246" s="50"/>
      <c r="L246" s="50"/>
      <c r="M246" s="214"/>
      <c r="N246" s="77"/>
      <c r="O246" s="62"/>
      <c r="P246" s="22"/>
      <c r="Q246" s="48"/>
      <c r="R246" s="48"/>
    </row>
    <row r="247" spans="1:18" ht="21.75" customHeight="1" thickBot="1">
      <c r="A247" s="227"/>
      <c r="B247" s="100"/>
      <c r="C247" s="100"/>
      <c r="D247" s="101"/>
      <c r="E247" s="100"/>
      <c r="F247" s="194"/>
      <c r="G247" s="102"/>
      <c r="H247" s="103"/>
      <c r="I247" s="104"/>
      <c r="J247" s="103"/>
      <c r="K247" s="111" t="s">
        <v>85</v>
      </c>
      <c r="L247" s="105"/>
      <c r="M247" s="217">
        <f>SUBTOTAL(9,M9:M246)</f>
        <v>270467.70000000013</v>
      </c>
      <c r="N247" s="93">
        <f>SUBTOTAL(9,N9:N246)</f>
        <v>0.999999999999999</v>
      </c>
      <c r="O247" s="62"/>
      <c r="P247" s="8"/>
      <c r="Q247" s="8"/>
      <c r="R247" s="8"/>
    </row>
    <row r="248" spans="1:18" ht="15.75" customHeight="1">
      <c r="A248" s="228"/>
      <c r="B248" s="8"/>
      <c r="C248" s="8"/>
      <c r="D248" s="2"/>
      <c r="E248" s="8"/>
      <c r="F248" s="195"/>
      <c r="G248" s="12"/>
      <c r="H248" s="12"/>
      <c r="I248" s="8"/>
      <c r="J248" s="8"/>
      <c r="K248" s="8"/>
      <c r="L248" s="8"/>
      <c r="M248" s="218"/>
      <c r="N248" s="8"/>
      <c r="O248" s="62"/>
      <c r="P248" s="8"/>
      <c r="Q248" s="8"/>
      <c r="R248" s="8"/>
    </row>
    <row r="249" spans="1:18" ht="15.75" customHeight="1">
      <c r="D249" s="76"/>
    </row>
  </sheetData>
  <autoFilter ref="A8:N246"/>
  <mergeCells count="1">
    <mergeCell ref="A1:N1"/>
  </mergeCells>
  <pageMargins left="0.511811024" right="0.511811024" top="0.78740157499999996" bottom="0.78740157499999996" header="0" footer="0"/>
  <pageSetup paperSize="9" scale="1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17"/>
  <sheetViews>
    <sheetView showGridLines="0" topLeftCell="B1" zoomScale="120" zoomScaleNormal="120" workbookViewId="0">
      <pane ySplit="3" topLeftCell="A68" activePane="bottomLeft" state="frozen"/>
      <selection pane="bottomLeft" activeCell="K99" sqref="K99:K104"/>
    </sheetView>
  </sheetViews>
  <sheetFormatPr defaultRowHeight="12.75"/>
  <cols>
    <col min="1" max="1" width="1.42578125" style="115" customWidth="1"/>
    <col min="2" max="2" width="8.140625" style="116" customWidth="1"/>
    <col min="3" max="3" width="7.5703125" style="117" customWidth="1"/>
    <col min="4" max="4" width="58.42578125" style="166" customWidth="1"/>
    <col min="5" max="5" width="8.28515625" style="117" customWidth="1"/>
    <col min="6" max="6" width="12.5703125" style="117" customWidth="1"/>
    <col min="7" max="10" width="12.5703125" style="115" customWidth="1"/>
    <col min="11" max="11" width="9.7109375" style="115" customWidth="1"/>
    <col min="12" max="14" width="17.28515625" style="115" customWidth="1"/>
    <col min="15" max="15" width="17.28515625" style="119" customWidth="1"/>
    <col min="16" max="16" width="9.140625" style="120"/>
    <col min="17" max="17" width="10.7109375" style="120" bestFit="1" customWidth="1"/>
    <col min="18" max="256" width="9.140625" style="120"/>
    <col min="257" max="257" width="1.42578125" style="120" customWidth="1"/>
    <col min="258" max="258" width="8.140625" style="120" customWidth="1"/>
    <col min="259" max="259" width="7.5703125" style="120" customWidth="1"/>
    <col min="260" max="260" width="40.5703125" style="120" customWidth="1"/>
    <col min="261" max="261" width="8.28515625" style="120" customWidth="1"/>
    <col min="262" max="271" width="17.28515625" style="120" customWidth="1"/>
    <col min="272" max="272" width="9.140625" style="120"/>
    <col min="273" max="273" width="10.7109375" style="120" bestFit="1" customWidth="1"/>
    <col min="274" max="512" width="9.140625" style="120"/>
    <col min="513" max="513" width="1.42578125" style="120" customWidth="1"/>
    <col min="514" max="514" width="8.140625" style="120" customWidth="1"/>
    <col min="515" max="515" width="7.5703125" style="120" customWidth="1"/>
    <col min="516" max="516" width="40.5703125" style="120" customWidth="1"/>
    <col min="517" max="517" width="8.28515625" style="120" customWidth="1"/>
    <col min="518" max="527" width="17.28515625" style="120" customWidth="1"/>
    <col min="528" max="528" width="9.140625" style="120"/>
    <col min="529" max="529" width="10.7109375" style="120" bestFit="1" customWidth="1"/>
    <col min="530" max="768" width="9.140625" style="120"/>
    <col min="769" max="769" width="1.42578125" style="120" customWidth="1"/>
    <col min="770" max="770" width="8.140625" style="120" customWidth="1"/>
    <col min="771" max="771" width="7.5703125" style="120" customWidth="1"/>
    <col min="772" max="772" width="40.5703125" style="120" customWidth="1"/>
    <col min="773" max="773" width="8.28515625" style="120" customWidth="1"/>
    <col min="774" max="783" width="17.28515625" style="120" customWidth="1"/>
    <col min="784" max="784" width="9.140625" style="120"/>
    <col min="785" max="785" width="10.7109375" style="120" bestFit="1" customWidth="1"/>
    <col min="786" max="1024" width="9.140625" style="120"/>
    <col min="1025" max="1025" width="1.42578125" style="120" customWidth="1"/>
    <col min="1026" max="1026" width="8.140625" style="120" customWidth="1"/>
    <col min="1027" max="1027" width="7.5703125" style="120" customWidth="1"/>
    <col min="1028" max="1028" width="40.5703125" style="120" customWidth="1"/>
    <col min="1029" max="1029" width="8.28515625" style="120" customWidth="1"/>
    <col min="1030" max="1039" width="17.28515625" style="120" customWidth="1"/>
    <col min="1040" max="1040" width="9.140625" style="120"/>
    <col min="1041" max="1041" width="10.7109375" style="120" bestFit="1" customWidth="1"/>
    <col min="1042" max="1280" width="9.140625" style="120"/>
    <col min="1281" max="1281" width="1.42578125" style="120" customWidth="1"/>
    <col min="1282" max="1282" width="8.140625" style="120" customWidth="1"/>
    <col min="1283" max="1283" width="7.5703125" style="120" customWidth="1"/>
    <col min="1284" max="1284" width="40.5703125" style="120" customWidth="1"/>
    <col min="1285" max="1285" width="8.28515625" style="120" customWidth="1"/>
    <col min="1286" max="1295" width="17.28515625" style="120" customWidth="1"/>
    <col min="1296" max="1296" width="9.140625" style="120"/>
    <col min="1297" max="1297" width="10.7109375" style="120" bestFit="1" customWidth="1"/>
    <col min="1298" max="1536" width="9.140625" style="120"/>
    <col min="1537" max="1537" width="1.42578125" style="120" customWidth="1"/>
    <col min="1538" max="1538" width="8.140625" style="120" customWidth="1"/>
    <col min="1539" max="1539" width="7.5703125" style="120" customWidth="1"/>
    <col min="1540" max="1540" width="40.5703125" style="120" customWidth="1"/>
    <col min="1541" max="1541" width="8.28515625" style="120" customWidth="1"/>
    <col min="1542" max="1551" width="17.28515625" style="120" customWidth="1"/>
    <col min="1552" max="1552" width="9.140625" style="120"/>
    <col min="1553" max="1553" width="10.7109375" style="120" bestFit="1" customWidth="1"/>
    <col min="1554" max="1792" width="9.140625" style="120"/>
    <col min="1793" max="1793" width="1.42578125" style="120" customWidth="1"/>
    <col min="1794" max="1794" width="8.140625" style="120" customWidth="1"/>
    <col min="1795" max="1795" width="7.5703125" style="120" customWidth="1"/>
    <col min="1796" max="1796" width="40.5703125" style="120" customWidth="1"/>
    <col min="1797" max="1797" width="8.28515625" style="120" customWidth="1"/>
    <col min="1798" max="1807" width="17.28515625" style="120" customWidth="1"/>
    <col min="1808" max="1808" width="9.140625" style="120"/>
    <col min="1809" max="1809" width="10.7109375" style="120" bestFit="1" customWidth="1"/>
    <col min="1810" max="2048" width="9.140625" style="120"/>
    <col min="2049" max="2049" width="1.42578125" style="120" customWidth="1"/>
    <col min="2050" max="2050" width="8.140625" style="120" customWidth="1"/>
    <col min="2051" max="2051" width="7.5703125" style="120" customWidth="1"/>
    <col min="2052" max="2052" width="40.5703125" style="120" customWidth="1"/>
    <col min="2053" max="2053" width="8.28515625" style="120" customWidth="1"/>
    <col min="2054" max="2063" width="17.28515625" style="120" customWidth="1"/>
    <col min="2064" max="2064" width="9.140625" style="120"/>
    <col min="2065" max="2065" width="10.7109375" style="120" bestFit="1" customWidth="1"/>
    <col min="2066" max="2304" width="9.140625" style="120"/>
    <col min="2305" max="2305" width="1.42578125" style="120" customWidth="1"/>
    <col min="2306" max="2306" width="8.140625" style="120" customWidth="1"/>
    <col min="2307" max="2307" width="7.5703125" style="120" customWidth="1"/>
    <col min="2308" max="2308" width="40.5703125" style="120" customWidth="1"/>
    <col min="2309" max="2309" width="8.28515625" style="120" customWidth="1"/>
    <col min="2310" max="2319" width="17.28515625" style="120" customWidth="1"/>
    <col min="2320" max="2320" width="9.140625" style="120"/>
    <col min="2321" max="2321" width="10.7109375" style="120" bestFit="1" customWidth="1"/>
    <col min="2322" max="2560" width="9.140625" style="120"/>
    <col min="2561" max="2561" width="1.42578125" style="120" customWidth="1"/>
    <col min="2562" max="2562" width="8.140625" style="120" customWidth="1"/>
    <col min="2563" max="2563" width="7.5703125" style="120" customWidth="1"/>
    <col min="2564" max="2564" width="40.5703125" style="120" customWidth="1"/>
    <col min="2565" max="2565" width="8.28515625" style="120" customWidth="1"/>
    <col min="2566" max="2575" width="17.28515625" style="120" customWidth="1"/>
    <col min="2576" max="2576" width="9.140625" style="120"/>
    <col min="2577" max="2577" width="10.7109375" style="120" bestFit="1" customWidth="1"/>
    <col min="2578" max="2816" width="9.140625" style="120"/>
    <col min="2817" max="2817" width="1.42578125" style="120" customWidth="1"/>
    <col min="2818" max="2818" width="8.140625" style="120" customWidth="1"/>
    <col min="2819" max="2819" width="7.5703125" style="120" customWidth="1"/>
    <col min="2820" max="2820" width="40.5703125" style="120" customWidth="1"/>
    <col min="2821" max="2821" width="8.28515625" style="120" customWidth="1"/>
    <col min="2822" max="2831" width="17.28515625" style="120" customWidth="1"/>
    <col min="2832" max="2832" width="9.140625" style="120"/>
    <col min="2833" max="2833" width="10.7109375" style="120" bestFit="1" customWidth="1"/>
    <col min="2834" max="3072" width="9.140625" style="120"/>
    <col min="3073" max="3073" width="1.42578125" style="120" customWidth="1"/>
    <col min="3074" max="3074" width="8.140625" style="120" customWidth="1"/>
    <col min="3075" max="3075" width="7.5703125" style="120" customWidth="1"/>
    <col min="3076" max="3076" width="40.5703125" style="120" customWidth="1"/>
    <col min="3077" max="3077" width="8.28515625" style="120" customWidth="1"/>
    <col min="3078" max="3087" width="17.28515625" style="120" customWidth="1"/>
    <col min="3088" max="3088" width="9.140625" style="120"/>
    <col min="3089" max="3089" width="10.7109375" style="120" bestFit="1" customWidth="1"/>
    <col min="3090" max="3328" width="9.140625" style="120"/>
    <col min="3329" max="3329" width="1.42578125" style="120" customWidth="1"/>
    <col min="3330" max="3330" width="8.140625" style="120" customWidth="1"/>
    <col min="3331" max="3331" width="7.5703125" style="120" customWidth="1"/>
    <col min="3332" max="3332" width="40.5703125" style="120" customWidth="1"/>
    <col min="3333" max="3333" width="8.28515625" style="120" customWidth="1"/>
    <col min="3334" max="3343" width="17.28515625" style="120" customWidth="1"/>
    <col min="3344" max="3344" width="9.140625" style="120"/>
    <col min="3345" max="3345" width="10.7109375" style="120" bestFit="1" customWidth="1"/>
    <col min="3346" max="3584" width="9.140625" style="120"/>
    <col min="3585" max="3585" width="1.42578125" style="120" customWidth="1"/>
    <col min="3586" max="3586" width="8.140625" style="120" customWidth="1"/>
    <col min="3587" max="3587" width="7.5703125" style="120" customWidth="1"/>
    <col min="3588" max="3588" width="40.5703125" style="120" customWidth="1"/>
    <col min="3589" max="3589" width="8.28515625" style="120" customWidth="1"/>
    <col min="3590" max="3599" width="17.28515625" style="120" customWidth="1"/>
    <col min="3600" max="3600" width="9.140625" style="120"/>
    <col min="3601" max="3601" width="10.7109375" style="120" bestFit="1" customWidth="1"/>
    <col min="3602" max="3840" width="9.140625" style="120"/>
    <col min="3841" max="3841" width="1.42578125" style="120" customWidth="1"/>
    <col min="3842" max="3842" width="8.140625" style="120" customWidth="1"/>
    <col min="3843" max="3843" width="7.5703125" style="120" customWidth="1"/>
    <col min="3844" max="3844" width="40.5703125" style="120" customWidth="1"/>
    <col min="3845" max="3845" width="8.28515625" style="120" customWidth="1"/>
    <col min="3846" max="3855" width="17.28515625" style="120" customWidth="1"/>
    <col min="3856" max="3856" width="9.140625" style="120"/>
    <col min="3857" max="3857" width="10.7109375" style="120" bestFit="1" customWidth="1"/>
    <col min="3858" max="4096" width="9.140625" style="120"/>
    <col min="4097" max="4097" width="1.42578125" style="120" customWidth="1"/>
    <col min="4098" max="4098" width="8.140625" style="120" customWidth="1"/>
    <col min="4099" max="4099" width="7.5703125" style="120" customWidth="1"/>
    <col min="4100" max="4100" width="40.5703125" style="120" customWidth="1"/>
    <col min="4101" max="4101" width="8.28515625" style="120" customWidth="1"/>
    <col min="4102" max="4111" width="17.28515625" style="120" customWidth="1"/>
    <col min="4112" max="4112" width="9.140625" style="120"/>
    <col min="4113" max="4113" width="10.7109375" style="120" bestFit="1" customWidth="1"/>
    <col min="4114" max="4352" width="9.140625" style="120"/>
    <col min="4353" max="4353" width="1.42578125" style="120" customWidth="1"/>
    <col min="4354" max="4354" width="8.140625" style="120" customWidth="1"/>
    <col min="4355" max="4355" width="7.5703125" style="120" customWidth="1"/>
    <col min="4356" max="4356" width="40.5703125" style="120" customWidth="1"/>
    <col min="4357" max="4357" width="8.28515625" style="120" customWidth="1"/>
    <col min="4358" max="4367" width="17.28515625" style="120" customWidth="1"/>
    <col min="4368" max="4368" width="9.140625" style="120"/>
    <col min="4369" max="4369" width="10.7109375" style="120" bestFit="1" customWidth="1"/>
    <col min="4370" max="4608" width="9.140625" style="120"/>
    <col min="4609" max="4609" width="1.42578125" style="120" customWidth="1"/>
    <col min="4610" max="4610" width="8.140625" style="120" customWidth="1"/>
    <col min="4611" max="4611" width="7.5703125" style="120" customWidth="1"/>
    <col min="4612" max="4612" width="40.5703125" style="120" customWidth="1"/>
    <col min="4613" max="4613" width="8.28515625" style="120" customWidth="1"/>
    <col min="4614" max="4623" width="17.28515625" style="120" customWidth="1"/>
    <col min="4624" max="4624" width="9.140625" style="120"/>
    <col min="4625" max="4625" width="10.7109375" style="120" bestFit="1" customWidth="1"/>
    <col min="4626" max="4864" width="9.140625" style="120"/>
    <col min="4865" max="4865" width="1.42578125" style="120" customWidth="1"/>
    <col min="4866" max="4866" width="8.140625" style="120" customWidth="1"/>
    <col min="4867" max="4867" width="7.5703125" style="120" customWidth="1"/>
    <col min="4868" max="4868" width="40.5703125" style="120" customWidth="1"/>
    <col min="4869" max="4869" width="8.28515625" style="120" customWidth="1"/>
    <col min="4870" max="4879" width="17.28515625" style="120" customWidth="1"/>
    <col min="4880" max="4880" width="9.140625" style="120"/>
    <col min="4881" max="4881" width="10.7109375" style="120" bestFit="1" customWidth="1"/>
    <col min="4882" max="5120" width="9.140625" style="120"/>
    <col min="5121" max="5121" width="1.42578125" style="120" customWidth="1"/>
    <col min="5122" max="5122" width="8.140625" style="120" customWidth="1"/>
    <col min="5123" max="5123" width="7.5703125" style="120" customWidth="1"/>
    <col min="5124" max="5124" width="40.5703125" style="120" customWidth="1"/>
    <col min="5125" max="5125" width="8.28515625" style="120" customWidth="1"/>
    <col min="5126" max="5135" width="17.28515625" style="120" customWidth="1"/>
    <col min="5136" max="5136" width="9.140625" style="120"/>
    <col min="5137" max="5137" width="10.7109375" style="120" bestFit="1" customWidth="1"/>
    <col min="5138" max="5376" width="9.140625" style="120"/>
    <col min="5377" max="5377" width="1.42578125" style="120" customWidth="1"/>
    <col min="5378" max="5378" width="8.140625" style="120" customWidth="1"/>
    <col min="5379" max="5379" width="7.5703125" style="120" customWidth="1"/>
    <col min="5380" max="5380" width="40.5703125" style="120" customWidth="1"/>
    <col min="5381" max="5381" width="8.28515625" style="120" customWidth="1"/>
    <col min="5382" max="5391" width="17.28515625" style="120" customWidth="1"/>
    <col min="5392" max="5392" width="9.140625" style="120"/>
    <col min="5393" max="5393" width="10.7109375" style="120" bestFit="1" customWidth="1"/>
    <col min="5394" max="5632" width="9.140625" style="120"/>
    <col min="5633" max="5633" width="1.42578125" style="120" customWidth="1"/>
    <col min="5634" max="5634" width="8.140625" style="120" customWidth="1"/>
    <col min="5635" max="5635" width="7.5703125" style="120" customWidth="1"/>
    <col min="5636" max="5636" width="40.5703125" style="120" customWidth="1"/>
    <col min="5637" max="5637" width="8.28515625" style="120" customWidth="1"/>
    <col min="5638" max="5647" width="17.28515625" style="120" customWidth="1"/>
    <col min="5648" max="5648" width="9.140625" style="120"/>
    <col min="5649" max="5649" width="10.7109375" style="120" bestFit="1" customWidth="1"/>
    <col min="5650" max="5888" width="9.140625" style="120"/>
    <col min="5889" max="5889" width="1.42578125" style="120" customWidth="1"/>
    <col min="5890" max="5890" width="8.140625" style="120" customWidth="1"/>
    <col min="5891" max="5891" width="7.5703125" style="120" customWidth="1"/>
    <col min="5892" max="5892" width="40.5703125" style="120" customWidth="1"/>
    <col min="5893" max="5893" width="8.28515625" style="120" customWidth="1"/>
    <col min="5894" max="5903" width="17.28515625" style="120" customWidth="1"/>
    <col min="5904" max="5904" width="9.140625" style="120"/>
    <col min="5905" max="5905" width="10.7109375" style="120" bestFit="1" customWidth="1"/>
    <col min="5906" max="6144" width="9.140625" style="120"/>
    <col min="6145" max="6145" width="1.42578125" style="120" customWidth="1"/>
    <col min="6146" max="6146" width="8.140625" style="120" customWidth="1"/>
    <col min="6147" max="6147" width="7.5703125" style="120" customWidth="1"/>
    <col min="6148" max="6148" width="40.5703125" style="120" customWidth="1"/>
    <col min="6149" max="6149" width="8.28515625" style="120" customWidth="1"/>
    <col min="6150" max="6159" width="17.28515625" style="120" customWidth="1"/>
    <col min="6160" max="6160" width="9.140625" style="120"/>
    <col min="6161" max="6161" width="10.7109375" style="120" bestFit="1" customWidth="1"/>
    <col min="6162" max="6400" width="9.140625" style="120"/>
    <col min="6401" max="6401" width="1.42578125" style="120" customWidth="1"/>
    <col min="6402" max="6402" width="8.140625" style="120" customWidth="1"/>
    <col min="6403" max="6403" width="7.5703125" style="120" customWidth="1"/>
    <col min="6404" max="6404" width="40.5703125" style="120" customWidth="1"/>
    <col min="6405" max="6405" width="8.28515625" style="120" customWidth="1"/>
    <col min="6406" max="6415" width="17.28515625" style="120" customWidth="1"/>
    <col min="6416" max="6416" width="9.140625" style="120"/>
    <col min="6417" max="6417" width="10.7109375" style="120" bestFit="1" customWidth="1"/>
    <col min="6418" max="6656" width="9.140625" style="120"/>
    <col min="6657" max="6657" width="1.42578125" style="120" customWidth="1"/>
    <col min="6658" max="6658" width="8.140625" style="120" customWidth="1"/>
    <col min="6659" max="6659" width="7.5703125" style="120" customWidth="1"/>
    <col min="6660" max="6660" width="40.5703125" style="120" customWidth="1"/>
    <col min="6661" max="6661" width="8.28515625" style="120" customWidth="1"/>
    <col min="6662" max="6671" width="17.28515625" style="120" customWidth="1"/>
    <col min="6672" max="6672" width="9.140625" style="120"/>
    <col min="6673" max="6673" width="10.7109375" style="120" bestFit="1" customWidth="1"/>
    <col min="6674" max="6912" width="9.140625" style="120"/>
    <col min="6913" max="6913" width="1.42578125" style="120" customWidth="1"/>
    <col min="6914" max="6914" width="8.140625" style="120" customWidth="1"/>
    <col min="6915" max="6915" width="7.5703125" style="120" customWidth="1"/>
    <col min="6916" max="6916" width="40.5703125" style="120" customWidth="1"/>
    <col min="6917" max="6917" width="8.28515625" style="120" customWidth="1"/>
    <col min="6918" max="6927" width="17.28515625" style="120" customWidth="1"/>
    <col min="6928" max="6928" width="9.140625" style="120"/>
    <col min="6929" max="6929" width="10.7109375" style="120" bestFit="1" customWidth="1"/>
    <col min="6930" max="7168" width="9.140625" style="120"/>
    <col min="7169" max="7169" width="1.42578125" style="120" customWidth="1"/>
    <col min="7170" max="7170" width="8.140625" style="120" customWidth="1"/>
    <col min="7171" max="7171" width="7.5703125" style="120" customWidth="1"/>
    <col min="7172" max="7172" width="40.5703125" style="120" customWidth="1"/>
    <col min="7173" max="7173" width="8.28515625" style="120" customWidth="1"/>
    <col min="7174" max="7183" width="17.28515625" style="120" customWidth="1"/>
    <col min="7184" max="7184" width="9.140625" style="120"/>
    <col min="7185" max="7185" width="10.7109375" style="120" bestFit="1" customWidth="1"/>
    <col min="7186" max="7424" width="9.140625" style="120"/>
    <col min="7425" max="7425" width="1.42578125" style="120" customWidth="1"/>
    <col min="7426" max="7426" width="8.140625" style="120" customWidth="1"/>
    <col min="7427" max="7427" width="7.5703125" style="120" customWidth="1"/>
    <col min="7428" max="7428" width="40.5703125" style="120" customWidth="1"/>
    <col min="7429" max="7429" width="8.28515625" style="120" customWidth="1"/>
    <col min="7430" max="7439" width="17.28515625" style="120" customWidth="1"/>
    <col min="7440" max="7440" width="9.140625" style="120"/>
    <col min="7441" max="7441" width="10.7109375" style="120" bestFit="1" customWidth="1"/>
    <col min="7442" max="7680" width="9.140625" style="120"/>
    <col min="7681" max="7681" width="1.42578125" style="120" customWidth="1"/>
    <col min="7682" max="7682" width="8.140625" style="120" customWidth="1"/>
    <col min="7683" max="7683" width="7.5703125" style="120" customWidth="1"/>
    <col min="7684" max="7684" width="40.5703125" style="120" customWidth="1"/>
    <col min="7685" max="7685" width="8.28515625" style="120" customWidth="1"/>
    <col min="7686" max="7695" width="17.28515625" style="120" customWidth="1"/>
    <col min="7696" max="7696" width="9.140625" style="120"/>
    <col min="7697" max="7697" width="10.7109375" style="120" bestFit="1" customWidth="1"/>
    <col min="7698" max="7936" width="9.140625" style="120"/>
    <col min="7937" max="7937" width="1.42578125" style="120" customWidth="1"/>
    <col min="7938" max="7938" width="8.140625" style="120" customWidth="1"/>
    <col min="7939" max="7939" width="7.5703125" style="120" customWidth="1"/>
    <col min="7940" max="7940" width="40.5703125" style="120" customWidth="1"/>
    <col min="7941" max="7941" width="8.28515625" style="120" customWidth="1"/>
    <col min="7942" max="7951" width="17.28515625" style="120" customWidth="1"/>
    <col min="7952" max="7952" width="9.140625" style="120"/>
    <col min="7953" max="7953" width="10.7109375" style="120" bestFit="1" customWidth="1"/>
    <col min="7954" max="8192" width="9.140625" style="120"/>
    <col min="8193" max="8193" width="1.42578125" style="120" customWidth="1"/>
    <col min="8194" max="8194" width="8.140625" style="120" customWidth="1"/>
    <col min="8195" max="8195" width="7.5703125" style="120" customWidth="1"/>
    <col min="8196" max="8196" width="40.5703125" style="120" customWidth="1"/>
    <col min="8197" max="8197" width="8.28515625" style="120" customWidth="1"/>
    <col min="8198" max="8207" width="17.28515625" style="120" customWidth="1"/>
    <col min="8208" max="8208" width="9.140625" style="120"/>
    <col min="8209" max="8209" width="10.7109375" style="120" bestFit="1" customWidth="1"/>
    <col min="8210" max="8448" width="9.140625" style="120"/>
    <col min="8449" max="8449" width="1.42578125" style="120" customWidth="1"/>
    <col min="8450" max="8450" width="8.140625" style="120" customWidth="1"/>
    <col min="8451" max="8451" width="7.5703125" style="120" customWidth="1"/>
    <col min="8452" max="8452" width="40.5703125" style="120" customWidth="1"/>
    <col min="8453" max="8453" width="8.28515625" style="120" customWidth="1"/>
    <col min="8454" max="8463" width="17.28515625" style="120" customWidth="1"/>
    <col min="8464" max="8464" width="9.140625" style="120"/>
    <col min="8465" max="8465" width="10.7109375" style="120" bestFit="1" customWidth="1"/>
    <col min="8466" max="8704" width="9.140625" style="120"/>
    <col min="8705" max="8705" width="1.42578125" style="120" customWidth="1"/>
    <col min="8706" max="8706" width="8.140625" style="120" customWidth="1"/>
    <col min="8707" max="8707" width="7.5703125" style="120" customWidth="1"/>
    <col min="8708" max="8708" width="40.5703125" style="120" customWidth="1"/>
    <col min="8709" max="8709" width="8.28515625" style="120" customWidth="1"/>
    <col min="8710" max="8719" width="17.28515625" style="120" customWidth="1"/>
    <col min="8720" max="8720" width="9.140625" style="120"/>
    <col min="8721" max="8721" width="10.7109375" style="120" bestFit="1" customWidth="1"/>
    <col min="8722" max="8960" width="9.140625" style="120"/>
    <col min="8961" max="8961" width="1.42578125" style="120" customWidth="1"/>
    <col min="8962" max="8962" width="8.140625" style="120" customWidth="1"/>
    <col min="8963" max="8963" width="7.5703125" style="120" customWidth="1"/>
    <col min="8964" max="8964" width="40.5703125" style="120" customWidth="1"/>
    <col min="8965" max="8965" width="8.28515625" style="120" customWidth="1"/>
    <col min="8966" max="8975" width="17.28515625" style="120" customWidth="1"/>
    <col min="8976" max="8976" width="9.140625" style="120"/>
    <col min="8977" max="8977" width="10.7109375" style="120" bestFit="1" customWidth="1"/>
    <col min="8978" max="9216" width="9.140625" style="120"/>
    <col min="9217" max="9217" width="1.42578125" style="120" customWidth="1"/>
    <col min="9218" max="9218" width="8.140625" style="120" customWidth="1"/>
    <col min="9219" max="9219" width="7.5703125" style="120" customWidth="1"/>
    <col min="9220" max="9220" width="40.5703125" style="120" customWidth="1"/>
    <col min="9221" max="9221" width="8.28515625" style="120" customWidth="1"/>
    <col min="9222" max="9231" width="17.28515625" style="120" customWidth="1"/>
    <col min="9232" max="9232" width="9.140625" style="120"/>
    <col min="9233" max="9233" width="10.7109375" style="120" bestFit="1" customWidth="1"/>
    <col min="9234" max="9472" width="9.140625" style="120"/>
    <col min="9473" max="9473" width="1.42578125" style="120" customWidth="1"/>
    <col min="9474" max="9474" width="8.140625" style="120" customWidth="1"/>
    <col min="9475" max="9475" width="7.5703125" style="120" customWidth="1"/>
    <col min="9476" max="9476" width="40.5703125" style="120" customWidth="1"/>
    <col min="9477" max="9477" width="8.28515625" style="120" customWidth="1"/>
    <col min="9478" max="9487" width="17.28515625" style="120" customWidth="1"/>
    <col min="9488" max="9488" width="9.140625" style="120"/>
    <col min="9489" max="9489" width="10.7109375" style="120" bestFit="1" customWidth="1"/>
    <col min="9490" max="9728" width="9.140625" style="120"/>
    <col min="9729" max="9729" width="1.42578125" style="120" customWidth="1"/>
    <col min="9730" max="9730" width="8.140625" style="120" customWidth="1"/>
    <col min="9731" max="9731" width="7.5703125" style="120" customWidth="1"/>
    <col min="9732" max="9732" width="40.5703125" style="120" customWidth="1"/>
    <col min="9733" max="9733" width="8.28515625" style="120" customWidth="1"/>
    <col min="9734" max="9743" width="17.28515625" style="120" customWidth="1"/>
    <col min="9744" max="9744" width="9.140625" style="120"/>
    <col min="9745" max="9745" width="10.7109375" style="120" bestFit="1" customWidth="1"/>
    <col min="9746" max="9984" width="9.140625" style="120"/>
    <col min="9985" max="9985" width="1.42578125" style="120" customWidth="1"/>
    <col min="9986" max="9986" width="8.140625" style="120" customWidth="1"/>
    <col min="9987" max="9987" width="7.5703125" style="120" customWidth="1"/>
    <col min="9988" max="9988" width="40.5703125" style="120" customWidth="1"/>
    <col min="9989" max="9989" width="8.28515625" style="120" customWidth="1"/>
    <col min="9990" max="9999" width="17.28515625" style="120" customWidth="1"/>
    <col min="10000" max="10000" width="9.140625" style="120"/>
    <col min="10001" max="10001" width="10.7109375" style="120" bestFit="1" customWidth="1"/>
    <col min="10002" max="10240" width="9.140625" style="120"/>
    <col min="10241" max="10241" width="1.42578125" style="120" customWidth="1"/>
    <col min="10242" max="10242" width="8.140625" style="120" customWidth="1"/>
    <col min="10243" max="10243" width="7.5703125" style="120" customWidth="1"/>
    <col min="10244" max="10244" width="40.5703125" style="120" customWidth="1"/>
    <col min="10245" max="10245" width="8.28515625" style="120" customWidth="1"/>
    <col min="10246" max="10255" width="17.28515625" style="120" customWidth="1"/>
    <col min="10256" max="10256" width="9.140625" style="120"/>
    <col min="10257" max="10257" width="10.7109375" style="120" bestFit="1" customWidth="1"/>
    <col min="10258" max="10496" width="9.140625" style="120"/>
    <col min="10497" max="10497" width="1.42578125" style="120" customWidth="1"/>
    <col min="10498" max="10498" width="8.140625" style="120" customWidth="1"/>
    <col min="10499" max="10499" width="7.5703125" style="120" customWidth="1"/>
    <col min="10500" max="10500" width="40.5703125" style="120" customWidth="1"/>
    <col min="10501" max="10501" width="8.28515625" style="120" customWidth="1"/>
    <col min="10502" max="10511" width="17.28515625" style="120" customWidth="1"/>
    <col min="10512" max="10512" width="9.140625" style="120"/>
    <col min="10513" max="10513" width="10.7109375" style="120" bestFit="1" customWidth="1"/>
    <col min="10514" max="10752" width="9.140625" style="120"/>
    <col min="10753" max="10753" width="1.42578125" style="120" customWidth="1"/>
    <col min="10754" max="10754" width="8.140625" style="120" customWidth="1"/>
    <col min="10755" max="10755" width="7.5703125" style="120" customWidth="1"/>
    <col min="10756" max="10756" width="40.5703125" style="120" customWidth="1"/>
    <col min="10757" max="10757" width="8.28515625" style="120" customWidth="1"/>
    <col min="10758" max="10767" width="17.28515625" style="120" customWidth="1"/>
    <col min="10768" max="10768" width="9.140625" style="120"/>
    <col min="10769" max="10769" width="10.7109375" style="120" bestFit="1" customWidth="1"/>
    <col min="10770" max="11008" width="9.140625" style="120"/>
    <col min="11009" max="11009" width="1.42578125" style="120" customWidth="1"/>
    <col min="11010" max="11010" width="8.140625" style="120" customWidth="1"/>
    <col min="11011" max="11011" width="7.5703125" style="120" customWidth="1"/>
    <col min="11012" max="11012" width="40.5703125" style="120" customWidth="1"/>
    <col min="11013" max="11013" width="8.28515625" style="120" customWidth="1"/>
    <col min="11014" max="11023" width="17.28515625" style="120" customWidth="1"/>
    <col min="11024" max="11024" width="9.140625" style="120"/>
    <col min="11025" max="11025" width="10.7109375" style="120" bestFit="1" customWidth="1"/>
    <col min="11026" max="11264" width="9.140625" style="120"/>
    <col min="11265" max="11265" width="1.42578125" style="120" customWidth="1"/>
    <col min="11266" max="11266" width="8.140625" style="120" customWidth="1"/>
    <col min="11267" max="11267" width="7.5703125" style="120" customWidth="1"/>
    <col min="11268" max="11268" width="40.5703125" style="120" customWidth="1"/>
    <col min="11269" max="11269" width="8.28515625" style="120" customWidth="1"/>
    <col min="11270" max="11279" width="17.28515625" style="120" customWidth="1"/>
    <col min="11280" max="11280" width="9.140625" style="120"/>
    <col min="11281" max="11281" width="10.7109375" style="120" bestFit="1" customWidth="1"/>
    <col min="11282" max="11520" width="9.140625" style="120"/>
    <col min="11521" max="11521" width="1.42578125" style="120" customWidth="1"/>
    <col min="11522" max="11522" width="8.140625" style="120" customWidth="1"/>
    <col min="11523" max="11523" width="7.5703125" style="120" customWidth="1"/>
    <col min="11524" max="11524" width="40.5703125" style="120" customWidth="1"/>
    <col min="11525" max="11525" width="8.28515625" style="120" customWidth="1"/>
    <col min="11526" max="11535" width="17.28515625" style="120" customWidth="1"/>
    <col min="11536" max="11536" width="9.140625" style="120"/>
    <col min="11537" max="11537" width="10.7109375" style="120" bestFit="1" customWidth="1"/>
    <col min="11538" max="11776" width="9.140625" style="120"/>
    <col min="11777" max="11777" width="1.42578125" style="120" customWidth="1"/>
    <col min="11778" max="11778" width="8.140625" style="120" customWidth="1"/>
    <col min="11779" max="11779" width="7.5703125" style="120" customWidth="1"/>
    <col min="11780" max="11780" width="40.5703125" style="120" customWidth="1"/>
    <col min="11781" max="11781" width="8.28515625" style="120" customWidth="1"/>
    <col min="11782" max="11791" width="17.28515625" style="120" customWidth="1"/>
    <col min="11792" max="11792" width="9.140625" style="120"/>
    <col min="11793" max="11793" width="10.7109375" style="120" bestFit="1" customWidth="1"/>
    <col min="11794" max="12032" width="9.140625" style="120"/>
    <col min="12033" max="12033" width="1.42578125" style="120" customWidth="1"/>
    <col min="12034" max="12034" width="8.140625" style="120" customWidth="1"/>
    <col min="12035" max="12035" width="7.5703125" style="120" customWidth="1"/>
    <col min="12036" max="12036" width="40.5703125" style="120" customWidth="1"/>
    <col min="12037" max="12037" width="8.28515625" style="120" customWidth="1"/>
    <col min="12038" max="12047" width="17.28515625" style="120" customWidth="1"/>
    <col min="12048" max="12048" width="9.140625" style="120"/>
    <col min="12049" max="12049" width="10.7109375" style="120" bestFit="1" customWidth="1"/>
    <col min="12050" max="12288" width="9.140625" style="120"/>
    <col min="12289" max="12289" width="1.42578125" style="120" customWidth="1"/>
    <col min="12290" max="12290" width="8.140625" style="120" customWidth="1"/>
    <col min="12291" max="12291" width="7.5703125" style="120" customWidth="1"/>
    <col min="12292" max="12292" width="40.5703125" style="120" customWidth="1"/>
    <col min="12293" max="12293" width="8.28515625" style="120" customWidth="1"/>
    <col min="12294" max="12303" width="17.28515625" style="120" customWidth="1"/>
    <col min="12304" max="12304" width="9.140625" style="120"/>
    <col min="12305" max="12305" width="10.7109375" style="120" bestFit="1" customWidth="1"/>
    <col min="12306" max="12544" width="9.140625" style="120"/>
    <col min="12545" max="12545" width="1.42578125" style="120" customWidth="1"/>
    <col min="12546" max="12546" width="8.140625" style="120" customWidth="1"/>
    <col min="12547" max="12547" width="7.5703125" style="120" customWidth="1"/>
    <col min="12548" max="12548" width="40.5703125" style="120" customWidth="1"/>
    <col min="12549" max="12549" width="8.28515625" style="120" customWidth="1"/>
    <col min="12550" max="12559" width="17.28515625" style="120" customWidth="1"/>
    <col min="12560" max="12560" width="9.140625" style="120"/>
    <col min="12561" max="12561" width="10.7109375" style="120" bestFit="1" customWidth="1"/>
    <col min="12562" max="12800" width="9.140625" style="120"/>
    <col min="12801" max="12801" width="1.42578125" style="120" customWidth="1"/>
    <col min="12802" max="12802" width="8.140625" style="120" customWidth="1"/>
    <col min="12803" max="12803" width="7.5703125" style="120" customWidth="1"/>
    <col min="12804" max="12804" width="40.5703125" style="120" customWidth="1"/>
    <col min="12805" max="12805" width="8.28515625" style="120" customWidth="1"/>
    <col min="12806" max="12815" width="17.28515625" style="120" customWidth="1"/>
    <col min="12816" max="12816" width="9.140625" style="120"/>
    <col min="12817" max="12817" width="10.7109375" style="120" bestFit="1" customWidth="1"/>
    <col min="12818" max="13056" width="9.140625" style="120"/>
    <col min="13057" max="13057" width="1.42578125" style="120" customWidth="1"/>
    <col min="13058" max="13058" width="8.140625" style="120" customWidth="1"/>
    <col min="13059" max="13059" width="7.5703125" style="120" customWidth="1"/>
    <col min="13060" max="13060" width="40.5703125" style="120" customWidth="1"/>
    <col min="13061" max="13061" width="8.28515625" style="120" customWidth="1"/>
    <col min="13062" max="13071" width="17.28515625" style="120" customWidth="1"/>
    <col min="13072" max="13072" width="9.140625" style="120"/>
    <col min="13073" max="13073" width="10.7109375" style="120" bestFit="1" customWidth="1"/>
    <col min="13074" max="13312" width="9.140625" style="120"/>
    <col min="13313" max="13313" width="1.42578125" style="120" customWidth="1"/>
    <col min="13314" max="13314" width="8.140625" style="120" customWidth="1"/>
    <col min="13315" max="13315" width="7.5703125" style="120" customWidth="1"/>
    <col min="13316" max="13316" width="40.5703125" style="120" customWidth="1"/>
    <col min="13317" max="13317" width="8.28515625" style="120" customWidth="1"/>
    <col min="13318" max="13327" width="17.28515625" style="120" customWidth="1"/>
    <col min="13328" max="13328" width="9.140625" style="120"/>
    <col min="13329" max="13329" width="10.7109375" style="120" bestFit="1" customWidth="1"/>
    <col min="13330" max="13568" width="9.140625" style="120"/>
    <col min="13569" max="13569" width="1.42578125" style="120" customWidth="1"/>
    <col min="13570" max="13570" width="8.140625" style="120" customWidth="1"/>
    <col min="13571" max="13571" width="7.5703125" style="120" customWidth="1"/>
    <col min="13572" max="13572" width="40.5703125" style="120" customWidth="1"/>
    <col min="13573" max="13573" width="8.28515625" style="120" customWidth="1"/>
    <col min="13574" max="13583" width="17.28515625" style="120" customWidth="1"/>
    <col min="13584" max="13584" width="9.140625" style="120"/>
    <col min="13585" max="13585" width="10.7109375" style="120" bestFit="1" customWidth="1"/>
    <col min="13586" max="13824" width="9.140625" style="120"/>
    <col min="13825" max="13825" width="1.42578125" style="120" customWidth="1"/>
    <col min="13826" max="13826" width="8.140625" style="120" customWidth="1"/>
    <col min="13827" max="13827" width="7.5703125" style="120" customWidth="1"/>
    <col min="13828" max="13828" width="40.5703125" style="120" customWidth="1"/>
    <col min="13829" max="13829" width="8.28515625" style="120" customWidth="1"/>
    <col min="13830" max="13839" width="17.28515625" style="120" customWidth="1"/>
    <col min="13840" max="13840" width="9.140625" style="120"/>
    <col min="13841" max="13841" width="10.7109375" style="120" bestFit="1" customWidth="1"/>
    <col min="13842" max="14080" width="9.140625" style="120"/>
    <col min="14081" max="14081" width="1.42578125" style="120" customWidth="1"/>
    <col min="14082" max="14082" width="8.140625" style="120" customWidth="1"/>
    <col min="14083" max="14083" width="7.5703125" style="120" customWidth="1"/>
    <col min="14084" max="14084" width="40.5703125" style="120" customWidth="1"/>
    <col min="14085" max="14085" width="8.28515625" style="120" customWidth="1"/>
    <col min="14086" max="14095" width="17.28515625" style="120" customWidth="1"/>
    <col min="14096" max="14096" width="9.140625" style="120"/>
    <col min="14097" max="14097" width="10.7109375" style="120" bestFit="1" customWidth="1"/>
    <col min="14098" max="14336" width="9.140625" style="120"/>
    <col min="14337" max="14337" width="1.42578125" style="120" customWidth="1"/>
    <col min="14338" max="14338" width="8.140625" style="120" customWidth="1"/>
    <col min="14339" max="14339" width="7.5703125" style="120" customWidth="1"/>
    <col min="14340" max="14340" width="40.5703125" style="120" customWidth="1"/>
    <col min="14341" max="14341" width="8.28515625" style="120" customWidth="1"/>
    <col min="14342" max="14351" width="17.28515625" style="120" customWidth="1"/>
    <col min="14352" max="14352" width="9.140625" style="120"/>
    <col min="14353" max="14353" width="10.7109375" style="120" bestFit="1" customWidth="1"/>
    <col min="14354" max="14592" width="9.140625" style="120"/>
    <col min="14593" max="14593" width="1.42578125" style="120" customWidth="1"/>
    <col min="14594" max="14594" width="8.140625" style="120" customWidth="1"/>
    <col min="14595" max="14595" width="7.5703125" style="120" customWidth="1"/>
    <col min="14596" max="14596" width="40.5703125" style="120" customWidth="1"/>
    <col min="14597" max="14597" width="8.28515625" style="120" customWidth="1"/>
    <col min="14598" max="14607" width="17.28515625" style="120" customWidth="1"/>
    <col min="14608" max="14608" width="9.140625" style="120"/>
    <col min="14609" max="14609" width="10.7109375" style="120" bestFit="1" customWidth="1"/>
    <col min="14610" max="14848" width="9.140625" style="120"/>
    <col min="14849" max="14849" width="1.42578125" style="120" customWidth="1"/>
    <col min="14850" max="14850" width="8.140625" style="120" customWidth="1"/>
    <col min="14851" max="14851" width="7.5703125" style="120" customWidth="1"/>
    <col min="14852" max="14852" width="40.5703125" style="120" customWidth="1"/>
    <col min="14853" max="14853" width="8.28515625" style="120" customWidth="1"/>
    <col min="14854" max="14863" width="17.28515625" style="120" customWidth="1"/>
    <col min="14864" max="14864" width="9.140625" style="120"/>
    <col min="14865" max="14865" width="10.7109375" style="120" bestFit="1" customWidth="1"/>
    <col min="14866" max="15104" width="9.140625" style="120"/>
    <col min="15105" max="15105" width="1.42578125" style="120" customWidth="1"/>
    <col min="15106" max="15106" width="8.140625" style="120" customWidth="1"/>
    <col min="15107" max="15107" width="7.5703125" style="120" customWidth="1"/>
    <col min="15108" max="15108" width="40.5703125" style="120" customWidth="1"/>
    <col min="15109" max="15109" width="8.28515625" style="120" customWidth="1"/>
    <col min="15110" max="15119" width="17.28515625" style="120" customWidth="1"/>
    <col min="15120" max="15120" width="9.140625" style="120"/>
    <col min="15121" max="15121" width="10.7109375" style="120" bestFit="1" customWidth="1"/>
    <col min="15122" max="15360" width="9.140625" style="120"/>
    <col min="15361" max="15361" width="1.42578125" style="120" customWidth="1"/>
    <col min="15362" max="15362" width="8.140625" style="120" customWidth="1"/>
    <col min="15363" max="15363" width="7.5703125" style="120" customWidth="1"/>
    <col min="15364" max="15364" width="40.5703125" style="120" customWidth="1"/>
    <col min="15365" max="15365" width="8.28515625" style="120" customWidth="1"/>
    <col min="15366" max="15375" width="17.28515625" style="120" customWidth="1"/>
    <col min="15376" max="15376" width="9.140625" style="120"/>
    <col min="15377" max="15377" width="10.7109375" style="120" bestFit="1" customWidth="1"/>
    <col min="15378" max="15616" width="9.140625" style="120"/>
    <col min="15617" max="15617" width="1.42578125" style="120" customWidth="1"/>
    <col min="15618" max="15618" width="8.140625" style="120" customWidth="1"/>
    <col min="15619" max="15619" width="7.5703125" style="120" customWidth="1"/>
    <col min="15620" max="15620" width="40.5703125" style="120" customWidth="1"/>
    <col min="15621" max="15621" width="8.28515625" style="120" customWidth="1"/>
    <col min="15622" max="15631" width="17.28515625" style="120" customWidth="1"/>
    <col min="15632" max="15632" width="9.140625" style="120"/>
    <col min="15633" max="15633" width="10.7109375" style="120" bestFit="1" customWidth="1"/>
    <col min="15634" max="15872" width="9.140625" style="120"/>
    <col min="15873" max="15873" width="1.42578125" style="120" customWidth="1"/>
    <col min="15874" max="15874" width="8.140625" style="120" customWidth="1"/>
    <col min="15875" max="15875" width="7.5703125" style="120" customWidth="1"/>
    <col min="15876" max="15876" width="40.5703125" style="120" customWidth="1"/>
    <col min="15877" max="15877" width="8.28515625" style="120" customWidth="1"/>
    <col min="15878" max="15887" width="17.28515625" style="120" customWidth="1"/>
    <col min="15888" max="15888" width="9.140625" style="120"/>
    <col min="15889" max="15889" width="10.7109375" style="120" bestFit="1" customWidth="1"/>
    <col min="15890" max="16128" width="9.140625" style="120"/>
    <col min="16129" max="16129" width="1.42578125" style="120" customWidth="1"/>
    <col min="16130" max="16130" width="8.140625" style="120" customWidth="1"/>
    <col min="16131" max="16131" width="7.5703125" style="120" customWidth="1"/>
    <col min="16132" max="16132" width="40.5703125" style="120" customWidth="1"/>
    <col min="16133" max="16133" width="8.28515625" style="120" customWidth="1"/>
    <col min="16134" max="16143" width="17.28515625" style="120" customWidth="1"/>
    <col min="16144" max="16144" width="9.140625" style="120"/>
    <col min="16145" max="16145" width="10.7109375" style="120" bestFit="1" customWidth="1"/>
    <col min="16146" max="16384" width="9.140625" style="120"/>
  </cols>
  <sheetData>
    <row r="1" spans="1:15">
      <c r="B1" s="121" t="s">
        <v>87</v>
      </c>
      <c r="C1" s="120"/>
      <c r="D1" s="167"/>
      <c r="F1" s="117">
        <v>4</v>
      </c>
      <c r="G1" s="115">
        <v>5</v>
      </c>
      <c r="H1" s="115">
        <v>6</v>
      </c>
      <c r="I1" s="115">
        <v>7</v>
      </c>
      <c r="J1" s="115">
        <v>8</v>
      </c>
    </row>
    <row r="2" spans="1:15" ht="13.5" thickBot="1"/>
    <row r="3" spans="1:15" s="127" customFormat="1" ht="23.25" customHeight="1" thickBot="1">
      <c r="A3" s="122"/>
      <c r="B3" s="123" t="s">
        <v>10</v>
      </c>
      <c r="C3" s="124" t="s">
        <v>12</v>
      </c>
      <c r="D3" s="168" t="s">
        <v>13</v>
      </c>
      <c r="E3" s="124" t="s">
        <v>14</v>
      </c>
      <c r="F3" s="125" t="s">
        <v>88</v>
      </c>
      <c r="G3" s="125" t="s">
        <v>89</v>
      </c>
      <c r="H3" s="125" t="s">
        <v>90</v>
      </c>
      <c r="I3" s="125" t="s">
        <v>91</v>
      </c>
      <c r="J3" s="125" t="s">
        <v>92</v>
      </c>
      <c r="K3" s="125"/>
      <c r="L3" s="125"/>
      <c r="M3" s="125"/>
      <c r="N3" s="125"/>
      <c r="O3" s="126"/>
    </row>
    <row r="4" spans="1:15">
      <c r="B4" s="128" t="s">
        <v>93</v>
      </c>
      <c r="C4" s="129"/>
      <c r="D4" s="169" t="s">
        <v>94</v>
      </c>
      <c r="E4" s="129"/>
      <c r="F4" s="129"/>
      <c r="G4" s="130"/>
      <c r="H4" s="130"/>
      <c r="I4" s="130"/>
      <c r="J4" s="130"/>
      <c r="K4" s="130"/>
      <c r="L4" s="129"/>
      <c r="M4" s="131"/>
      <c r="N4" s="131"/>
      <c r="O4" s="132"/>
    </row>
    <row r="5" spans="1:15" ht="22.5">
      <c r="B5" s="133" t="s">
        <v>93</v>
      </c>
      <c r="C5" s="134">
        <v>10775</v>
      </c>
      <c r="D5" s="170" t="s">
        <v>73</v>
      </c>
      <c r="E5" s="134" t="s">
        <v>0</v>
      </c>
      <c r="F5" s="134"/>
      <c r="G5" s="135"/>
      <c r="H5" s="135"/>
      <c r="I5" s="135"/>
      <c r="J5" s="135"/>
      <c r="K5" s="135"/>
      <c r="L5" s="136"/>
      <c r="M5" s="135"/>
      <c r="N5" s="135"/>
      <c r="O5" s="137"/>
    </row>
    <row r="6" spans="1:15">
      <c r="B6" s="133" t="s">
        <v>93</v>
      </c>
      <c r="C6" s="138">
        <v>90777</v>
      </c>
      <c r="D6" s="171" t="s">
        <v>95</v>
      </c>
      <c r="E6" s="138" t="s">
        <v>82</v>
      </c>
      <c r="F6" s="138"/>
      <c r="G6" s="135"/>
      <c r="H6" s="135"/>
      <c r="I6" s="135"/>
      <c r="J6" s="135"/>
      <c r="K6" s="135"/>
      <c r="L6" s="136"/>
      <c r="M6" s="135"/>
      <c r="N6" s="135"/>
      <c r="O6" s="137"/>
    </row>
    <row r="7" spans="1:15">
      <c r="B7" s="133" t="s">
        <v>93</v>
      </c>
      <c r="C7" s="138">
        <v>90776</v>
      </c>
      <c r="D7" s="171" t="s">
        <v>96</v>
      </c>
      <c r="E7" s="138" t="s">
        <v>82</v>
      </c>
      <c r="F7" s="138"/>
      <c r="G7" s="135"/>
      <c r="H7" s="135"/>
      <c r="I7" s="135"/>
      <c r="J7" s="135"/>
      <c r="K7" s="135"/>
      <c r="L7" s="136"/>
      <c r="M7" s="135"/>
      <c r="N7" s="135"/>
      <c r="O7" s="137"/>
    </row>
    <row r="8" spans="1:15">
      <c r="B8" s="133" t="s">
        <v>93</v>
      </c>
      <c r="C8" s="138">
        <v>88269</v>
      </c>
      <c r="D8" s="171" t="s">
        <v>97</v>
      </c>
      <c r="E8" s="138" t="s">
        <v>82</v>
      </c>
      <c r="F8" s="138"/>
      <c r="G8" s="135"/>
      <c r="H8" s="135"/>
      <c r="I8" s="135"/>
      <c r="J8" s="135"/>
      <c r="K8" s="135"/>
      <c r="L8" s="136"/>
      <c r="M8" s="135"/>
      <c r="N8" s="135"/>
      <c r="O8" s="137"/>
    </row>
    <row r="9" spans="1:15">
      <c r="B9" s="133" t="s">
        <v>93</v>
      </c>
      <c r="C9" s="138">
        <v>88310</v>
      </c>
      <c r="D9" s="172" t="s">
        <v>98</v>
      </c>
      <c r="E9" s="138" t="s">
        <v>82</v>
      </c>
      <c r="F9" s="138"/>
      <c r="G9" s="135"/>
      <c r="H9" s="135"/>
      <c r="I9" s="135"/>
      <c r="J9" s="135"/>
      <c r="K9" s="135"/>
      <c r="L9" s="136"/>
      <c r="M9" s="135"/>
      <c r="N9" s="135"/>
      <c r="O9" s="137"/>
    </row>
    <row r="10" spans="1:15">
      <c r="B10" s="128" t="s">
        <v>93</v>
      </c>
      <c r="C10" s="129"/>
      <c r="D10" s="169" t="s">
        <v>99</v>
      </c>
      <c r="E10" s="129"/>
      <c r="F10" s="129">
        <v>1</v>
      </c>
      <c r="G10" s="129">
        <v>1</v>
      </c>
      <c r="H10" s="129">
        <v>1</v>
      </c>
      <c r="I10" s="129">
        <v>1</v>
      </c>
      <c r="J10" s="129">
        <v>1</v>
      </c>
      <c r="K10" s="129">
        <f t="shared" ref="K10" si="0">SUM(K11:K18)</f>
        <v>0</v>
      </c>
      <c r="L10" s="129"/>
      <c r="M10" s="131"/>
      <c r="N10" s="131"/>
      <c r="O10" s="132"/>
    </row>
    <row r="11" spans="1:15">
      <c r="B11" s="133" t="s">
        <v>93</v>
      </c>
      <c r="C11" s="138"/>
      <c r="D11" s="172" t="s">
        <v>100</v>
      </c>
      <c r="E11" s="138"/>
      <c r="F11" s="138"/>
      <c r="G11" s="135"/>
      <c r="H11" s="135"/>
      <c r="I11" s="135"/>
      <c r="J11" s="135"/>
      <c r="K11" s="135"/>
      <c r="L11" s="136">
        <f t="shared" ref="L11:L24" si="1">F11+G11+H11+I11+J11</f>
        <v>0</v>
      </c>
      <c r="M11" s="135"/>
      <c r="N11" s="135"/>
      <c r="O11" s="137"/>
    </row>
    <row r="12" spans="1:15">
      <c r="B12" s="133" t="s">
        <v>93</v>
      </c>
      <c r="C12" s="138">
        <v>97638</v>
      </c>
      <c r="D12" s="172" t="s">
        <v>101</v>
      </c>
      <c r="E12" s="138" t="s">
        <v>71</v>
      </c>
      <c r="F12" s="138"/>
      <c r="G12" s="135">
        <f>(2.73+1.86)*2.7+1*2+1.68*2.1+2.2*1</f>
        <v>20.120999999999999</v>
      </c>
      <c r="H12" s="135">
        <f>0.9*2.2+0.4*2.2+(2.4+2.65)*2.68</f>
        <v>16.394000000000002</v>
      </c>
      <c r="I12" s="135">
        <f>0.4*2.2</f>
        <v>0.88000000000000012</v>
      </c>
      <c r="J12" s="135">
        <f>0.9*2.2</f>
        <v>1.9800000000000002</v>
      </c>
      <c r="K12" s="135"/>
      <c r="L12" s="136">
        <f t="shared" si="1"/>
        <v>39.375</v>
      </c>
      <c r="M12" s="135"/>
      <c r="N12" s="135"/>
      <c r="O12" s="137"/>
    </row>
    <row r="13" spans="1:15">
      <c r="B13" s="133" t="s">
        <v>93</v>
      </c>
      <c r="C13" s="138"/>
      <c r="D13" s="172" t="s">
        <v>102</v>
      </c>
      <c r="E13" s="138"/>
      <c r="F13" s="138"/>
      <c r="G13" s="135"/>
      <c r="H13" s="135"/>
      <c r="I13" s="135"/>
      <c r="J13" s="135"/>
      <c r="K13" s="135"/>
      <c r="L13" s="136">
        <f t="shared" si="1"/>
        <v>0</v>
      </c>
      <c r="M13" s="135"/>
      <c r="N13" s="135"/>
      <c r="O13" s="137"/>
    </row>
    <row r="14" spans="1:15" ht="22.5">
      <c r="B14" s="133" t="s">
        <v>93</v>
      </c>
      <c r="C14" s="138">
        <v>97637</v>
      </c>
      <c r="D14" s="172" t="s">
        <v>103</v>
      </c>
      <c r="E14" s="138" t="s">
        <v>104</v>
      </c>
      <c r="F14" s="138"/>
      <c r="G14" s="135">
        <f>7.65*1.17</f>
        <v>8.9504999999999999</v>
      </c>
      <c r="H14" s="135"/>
      <c r="I14" s="135"/>
      <c r="J14" s="135"/>
      <c r="K14" s="135"/>
      <c r="L14" s="136">
        <f t="shared" si="1"/>
        <v>8.9504999999999999</v>
      </c>
      <c r="M14" s="135"/>
      <c r="N14" s="135"/>
      <c r="O14" s="137"/>
    </row>
    <row r="15" spans="1:15">
      <c r="B15" s="133" t="s">
        <v>93</v>
      </c>
      <c r="C15" s="138">
        <v>97644</v>
      </c>
      <c r="D15" s="172" t="s">
        <v>105</v>
      </c>
      <c r="E15" s="138" t="s">
        <v>104</v>
      </c>
      <c r="F15" s="138">
        <f>0.9*2.1</f>
        <v>1.8900000000000001</v>
      </c>
      <c r="G15" s="135">
        <f>2.1*1.1</f>
        <v>2.3100000000000005</v>
      </c>
      <c r="H15" s="135">
        <f>0.9*2.1</f>
        <v>1.8900000000000001</v>
      </c>
      <c r="I15" s="135">
        <f>2.1*0.9</f>
        <v>1.8900000000000001</v>
      </c>
      <c r="J15" s="135"/>
      <c r="K15" s="135"/>
      <c r="L15" s="136">
        <f t="shared" si="1"/>
        <v>7.9800000000000022</v>
      </c>
      <c r="M15" s="135"/>
      <c r="N15" s="135"/>
      <c r="O15" s="137"/>
    </row>
    <row r="16" spans="1:15" hidden="1">
      <c r="B16" s="133"/>
      <c r="C16" s="138">
        <v>97645</v>
      </c>
      <c r="D16" s="172" t="s">
        <v>106</v>
      </c>
      <c r="E16" s="138" t="s">
        <v>104</v>
      </c>
      <c r="F16" s="138"/>
      <c r="G16" s="135"/>
      <c r="H16" s="135"/>
      <c r="I16" s="135"/>
      <c r="J16" s="135"/>
      <c r="K16" s="135"/>
      <c r="L16" s="136">
        <f t="shared" si="1"/>
        <v>0</v>
      </c>
      <c r="M16" s="135"/>
      <c r="N16" s="135"/>
      <c r="O16" s="137"/>
    </row>
    <row r="17" spans="2:15" ht="22.5">
      <c r="B17" s="133" t="s">
        <v>93</v>
      </c>
      <c r="C17" s="138">
        <v>97640</v>
      </c>
      <c r="D17" s="172" t="s">
        <v>107</v>
      </c>
      <c r="E17" s="138" t="s">
        <v>104</v>
      </c>
      <c r="F17" s="138">
        <f>7.35*6.9</f>
        <v>50.715000000000003</v>
      </c>
      <c r="G17" s="135"/>
      <c r="H17" s="135"/>
      <c r="I17" s="135"/>
      <c r="J17" s="135"/>
      <c r="K17" s="135"/>
      <c r="L17" s="136">
        <f t="shared" si="1"/>
        <v>50.715000000000003</v>
      </c>
      <c r="M17" s="135"/>
      <c r="N17" s="135"/>
      <c r="O17" s="137"/>
    </row>
    <row r="18" spans="2:15" hidden="1">
      <c r="B18" s="133"/>
      <c r="C18" s="138" t="s">
        <v>108</v>
      </c>
      <c r="D18" s="172" t="s">
        <v>109</v>
      </c>
      <c r="E18" s="138" t="s">
        <v>104</v>
      </c>
      <c r="F18" s="138"/>
      <c r="G18" s="135"/>
      <c r="H18" s="135"/>
      <c r="I18" s="135"/>
      <c r="J18" s="135"/>
      <c r="K18" s="135"/>
      <c r="L18" s="136">
        <f t="shared" si="1"/>
        <v>0</v>
      </c>
      <c r="M18" s="135"/>
      <c r="N18" s="135"/>
      <c r="O18" s="137"/>
    </row>
    <row r="19" spans="2:15">
      <c r="B19" s="139" t="s">
        <v>93</v>
      </c>
      <c r="C19" s="140"/>
      <c r="D19" s="173" t="s">
        <v>110</v>
      </c>
      <c r="E19" s="141"/>
      <c r="F19" s="141">
        <v>1</v>
      </c>
      <c r="G19" s="141">
        <v>1</v>
      </c>
      <c r="H19" s="141">
        <v>1</v>
      </c>
      <c r="I19" s="141">
        <v>1</v>
      </c>
      <c r="J19" s="141">
        <v>1</v>
      </c>
      <c r="K19" s="141">
        <f t="shared" ref="K19" si="2">SUM(K20:K39)</f>
        <v>0</v>
      </c>
      <c r="L19" s="136">
        <f t="shared" si="1"/>
        <v>5</v>
      </c>
      <c r="M19" s="141"/>
      <c r="N19" s="141"/>
      <c r="O19" s="142"/>
    </row>
    <row r="20" spans="2:15" ht="22.5" hidden="1">
      <c r="B20" s="133"/>
      <c r="C20" s="134">
        <v>97641</v>
      </c>
      <c r="D20" s="170" t="s">
        <v>111</v>
      </c>
      <c r="E20" s="134" t="s">
        <v>71</v>
      </c>
      <c r="F20" s="134"/>
      <c r="G20" s="135"/>
      <c r="H20" s="135"/>
      <c r="I20" s="135"/>
      <c r="J20" s="135"/>
      <c r="K20" s="135"/>
      <c r="L20" s="136">
        <f t="shared" si="1"/>
        <v>0</v>
      </c>
      <c r="M20" s="135"/>
      <c r="N20" s="135"/>
      <c r="O20" s="137"/>
    </row>
    <row r="21" spans="2:15" ht="33.75">
      <c r="B21" s="143" t="s">
        <v>93</v>
      </c>
      <c r="C21" s="138">
        <v>96358</v>
      </c>
      <c r="D21" s="172" t="s">
        <v>112</v>
      </c>
      <c r="E21" s="138" t="s">
        <v>71</v>
      </c>
      <c r="F21" s="138"/>
      <c r="G21" s="135">
        <f>1.73*2.7+4.57*2.7</f>
        <v>17.010000000000002</v>
      </c>
      <c r="H21" s="135">
        <f>2.26*2.68+0.9*2.1+3.53*2.68</f>
        <v>17.4072</v>
      </c>
      <c r="I21" s="135"/>
      <c r="J21" s="135">
        <f>7.66*2.71</f>
        <v>20.758600000000001</v>
      </c>
      <c r="K21" s="135"/>
      <c r="L21" s="136">
        <f t="shared" si="1"/>
        <v>55.175800000000002</v>
      </c>
      <c r="M21" s="135"/>
      <c r="N21" s="135"/>
      <c r="O21" s="137"/>
    </row>
    <row r="22" spans="2:15" ht="33.75">
      <c r="B22" s="143" t="s">
        <v>93</v>
      </c>
      <c r="C22" s="138">
        <v>96359</v>
      </c>
      <c r="D22" s="172" t="s">
        <v>113</v>
      </c>
      <c r="E22" s="138" t="s">
        <v>71</v>
      </c>
      <c r="F22" s="138">
        <f>ROUND((4.15+2.25)*2.68+(2.27+2.12+2.64)*2.68,2)-(2.1*0.8)*3-(1*1.2)*3</f>
        <v>27.35</v>
      </c>
      <c r="G22" s="135">
        <f>4.57*2.7-3.16*2.1+2.58*2.7-2.1*0.9+2.7*2.7-2.1*1.1</f>
        <v>15.759000000000002</v>
      </c>
      <c r="H22" s="135">
        <f>2.31*2.68</f>
        <v>6.1908000000000003</v>
      </c>
      <c r="I22" s="135"/>
      <c r="J22" s="135"/>
      <c r="K22" s="135"/>
      <c r="L22" s="136">
        <f t="shared" si="1"/>
        <v>49.299800000000005</v>
      </c>
      <c r="M22" s="135"/>
      <c r="N22" s="135"/>
      <c r="O22" s="137"/>
    </row>
    <row r="23" spans="2:15">
      <c r="B23" s="143" t="s">
        <v>93</v>
      </c>
      <c r="C23" s="138">
        <v>96113</v>
      </c>
      <c r="D23" s="172" t="s">
        <v>114</v>
      </c>
      <c r="E23" s="138" t="s">
        <v>71</v>
      </c>
      <c r="F23" s="138">
        <f>F17</f>
        <v>50.715000000000003</v>
      </c>
      <c r="G23" s="135">
        <v>5</v>
      </c>
      <c r="H23" s="135"/>
      <c r="I23" s="135"/>
      <c r="J23" s="135"/>
      <c r="K23" s="135"/>
      <c r="L23" s="136">
        <f t="shared" si="1"/>
        <v>55.715000000000003</v>
      </c>
      <c r="M23" s="135"/>
      <c r="N23" s="135"/>
      <c r="O23" s="137"/>
    </row>
    <row r="24" spans="2:15" ht="22.5" hidden="1">
      <c r="B24" s="143"/>
      <c r="C24" s="138">
        <v>96114</v>
      </c>
      <c r="D24" s="172" t="s">
        <v>115</v>
      </c>
      <c r="E24" s="138" t="s">
        <v>71</v>
      </c>
      <c r="F24" s="138"/>
      <c r="G24" s="135"/>
      <c r="H24" s="135"/>
      <c r="I24" s="135"/>
      <c r="J24" s="135"/>
      <c r="K24" s="135"/>
      <c r="L24" s="136">
        <f t="shared" si="1"/>
        <v>0</v>
      </c>
      <c r="M24" s="135"/>
      <c r="N24" s="135"/>
      <c r="O24" s="137"/>
    </row>
    <row r="25" spans="2:15" ht="22.5" hidden="1">
      <c r="B25" s="143"/>
      <c r="C25" s="138" t="s">
        <v>116</v>
      </c>
      <c r="D25" s="172" t="s">
        <v>117</v>
      </c>
      <c r="E25" s="138" t="s">
        <v>71</v>
      </c>
      <c r="F25" s="138"/>
      <c r="G25" s="135"/>
      <c r="H25" s="135"/>
      <c r="I25" s="135"/>
      <c r="J25" s="135"/>
      <c r="K25" s="135"/>
      <c r="L25" s="136">
        <f t="shared" ref="L25:L66" si="3">F25+G25+H25+I25</f>
        <v>0</v>
      </c>
      <c r="M25" s="135"/>
      <c r="N25" s="135"/>
      <c r="O25" s="137"/>
    </row>
    <row r="26" spans="2:15" ht="22.5" hidden="1">
      <c r="B26" s="143"/>
      <c r="C26" s="138" t="s">
        <v>118</v>
      </c>
      <c r="D26" s="172" t="s">
        <v>119</v>
      </c>
      <c r="E26" s="138" t="s">
        <v>71</v>
      </c>
      <c r="F26" s="138"/>
      <c r="G26" s="135"/>
      <c r="H26" s="135"/>
      <c r="I26" s="135"/>
      <c r="J26" s="135"/>
      <c r="K26" s="135"/>
      <c r="L26" s="136">
        <f t="shared" si="3"/>
        <v>0</v>
      </c>
      <c r="M26" s="135"/>
      <c r="N26" s="135"/>
      <c r="O26" s="137"/>
    </row>
    <row r="27" spans="2:15" hidden="1">
      <c r="B27" s="143"/>
      <c r="C27" s="138">
        <v>96120</v>
      </c>
      <c r="D27" s="172" t="s">
        <v>120</v>
      </c>
      <c r="E27" s="138" t="s">
        <v>75</v>
      </c>
      <c r="F27" s="138"/>
      <c r="G27" s="135"/>
      <c r="H27" s="135"/>
      <c r="I27" s="135"/>
      <c r="J27" s="135"/>
      <c r="K27" s="135"/>
      <c r="L27" s="136">
        <f>F27+G27+H27+I27+J27</f>
        <v>0</v>
      </c>
      <c r="M27" s="135"/>
      <c r="N27" s="135"/>
      <c r="O27" s="137"/>
    </row>
    <row r="28" spans="2:15" ht="22.5" hidden="1">
      <c r="B28" s="143"/>
      <c r="C28" s="138">
        <v>96123</v>
      </c>
      <c r="D28" s="172" t="s">
        <v>121</v>
      </c>
      <c r="E28" s="138" t="s">
        <v>75</v>
      </c>
      <c r="F28" s="138"/>
      <c r="G28" s="135"/>
      <c r="H28" s="135"/>
      <c r="I28" s="135"/>
      <c r="J28" s="135"/>
      <c r="K28" s="135"/>
      <c r="L28" s="136">
        <f t="shared" si="3"/>
        <v>0</v>
      </c>
      <c r="M28" s="135"/>
      <c r="N28" s="135"/>
      <c r="O28" s="137"/>
    </row>
    <row r="29" spans="2:15" hidden="1">
      <c r="B29" s="143"/>
      <c r="C29" s="134">
        <v>99054</v>
      </c>
      <c r="D29" s="170" t="s">
        <v>122</v>
      </c>
      <c r="E29" s="134" t="s">
        <v>75</v>
      </c>
      <c r="F29" s="134"/>
      <c r="G29" s="135"/>
      <c r="H29" s="135"/>
      <c r="I29" s="135"/>
      <c r="J29" s="135"/>
      <c r="K29" s="135"/>
      <c r="L29" s="136">
        <f t="shared" si="3"/>
        <v>0</v>
      </c>
      <c r="M29" s="135"/>
      <c r="N29" s="135"/>
      <c r="O29" s="137"/>
    </row>
    <row r="30" spans="2:15" ht="22.5" hidden="1">
      <c r="B30" s="143"/>
      <c r="C30" s="144">
        <v>39434</v>
      </c>
      <c r="D30" s="172" t="s">
        <v>123</v>
      </c>
      <c r="E30" s="138" t="s">
        <v>71</v>
      </c>
      <c r="F30" s="138"/>
      <c r="G30" s="135"/>
      <c r="H30" s="135"/>
      <c r="I30" s="135"/>
      <c r="J30" s="135"/>
      <c r="K30" s="135"/>
      <c r="L30" s="136">
        <f t="shared" si="3"/>
        <v>0</v>
      </c>
      <c r="M30" s="135"/>
      <c r="N30" s="135"/>
      <c r="O30" s="137"/>
    </row>
    <row r="31" spans="2:15" hidden="1">
      <c r="B31" s="143"/>
      <c r="C31" s="138">
        <v>96372</v>
      </c>
      <c r="D31" s="172" t="s">
        <v>124</v>
      </c>
      <c r="E31" s="138" t="s">
        <v>71</v>
      </c>
      <c r="F31" s="138"/>
      <c r="G31" s="135"/>
      <c r="H31" s="135"/>
      <c r="I31" s="135"/>
      <c r="J31" s="135"/>
      <c r="K31" s="135"/>
      <c r="L31" s="136">
        <f t="shared" si="3"/>
        <v>0</v>
      </c>
      <c r="M31" s="135"/>
      <c r="N31" s="135"/>
      <c r="O31" s="137"/>
    </row>
    <row r="32" spans="2:15" hidden="1">
      <c r="B32" s="143"/>
      <c r="C32" s="138">
        <v>96373</v>
      </c>
      <c r="D32" s="172" t="s">
        <v>125</v>
      </c>
      <c r="E32" s="138" t="s">
        <v>75</v>
      </c>
      <c r="F32" s="138"/>
      <c r="G32" s="135"/>
      <c r="H32" s="135"/>
      <c r="I32" s="135"/>
      <c r="J32" s="135"/>
      <c r="K32" s="135"/>
      <c r="L32" s="136">
        <f t="shared" ref="L32:L34" si="4">F32+G32+H32+I32+J32</f>
        <v>0</v>
      </c>
      <c r="M32" s="135"/>
      <c r="N32" s="135"/>
      <c r="O32" s="137"/>
    </row>
    <row r="33" spans="2:15">
      <c r="B33" s="143" t="s">
        <v>93</v>
      </c>
      <c r="C33" s="138">
        <v>96374</v>
      </c>
      <c r="D33" s="172" t="s">
        <v>126</v>
      </c>
      <c r="E33" s="138" t="s">
        <v>75</v>
      </c>
      <c r="F33" s="138">
        <f>1.2*3</f>
        <v>3.5999999999999996</v>
      </c>
      <c r="G33" s="135">
        <f>2.4+1.8+1.8+1.5</f>
        <v>7.5</v>
      </c>
      <c r="H33" s="135">
        <f>0.8+3.53+3.53+0.9</f>
        <v>8.76</v>
      </c>
      <c r="I33" s="135">
        <f>1.8+1.26</f>
        <v>3.06</v>
      </c>
      <c r="J33" s="135">
        <f>1.4+0.7</f>
        <v>2.0999999999999996</v>
      </c>
      <c r="K33" s="135"/>
      <c r="L33" s="136">
        <f t="shared" si="4"/>
        <v>25.019999999999996</v>
      </c>
      <c r="M33" s="135"/>
      <c r="N33" s="135"/>
      <c r="O33" s="137"/>
    </row>
    <row r="34" spans="2:15">
      <c r="B34" s="143" t="s">
        <v>93</v>
      </c>
      <c r="C34" s="138" t="s">
        <v>127</v>
      </c>
      <c r="D34" s="172" t="s">
        <v>128</v>
      </c>
      <c r="E34" s="138" t="s">
        <v>44</v>
      </c>
      <c r="F34" s="138">
        <v>6</v>
      </c>
      <c r="G34" s="135">
        <v>6</v>
      </c>
      <c r="H34" s="135">
        <v>6</v>
      </c>
      <c r="I34" s="135">
        <v>6</v>
      </c>
      <c r="J34" s="135">
        <v>6</v>
      </c>
      <c r="K34" s="135"/>
      <c r="L34" s="136">
        <f t="shared" si="4"/>
        <v>30</v>
      </c>
      <c r="M34" s="135"/>
      <c r="N34" s="135"/>
      <c r="O34" s="137"/>
    </row>
    <row r="35" spans="2:15" ht="22.5" hidden="1">
      <c r="B35" s="143"/>
      <c r="C35" s="138">
        <v>84874</v>
      </c>
      <c r="D35" s="172" t="s">
        <v>129</v>
      </c>
      <c r="E35" s="138" t="s">
        <v>44</v>
      </c>
      <c r="F35" s="138"/>
      <c r="G35" s="135"/>
      <c r="H35" s="135"/>
      <c r="I35" s="135"/>
      <c r="J35" s="135"/>
      <c r="K35" s="135"/>
      <c r="L35" s="136">
        <f t="shared" si="3"/>
        <v>0</v>
      </c>
      <c r="M35" s="135"/>
      <c r="N35" s="135"/>
      <c r="O35" s="137"/>
    </row>
    <row r="36" spans="2:15" ht="22.5" hidden="1">
      <c r="B36" s="143"/>
      <c r="C36" s="138">
        <v>39432</v>
      </c>
      <c r="D36" s="172" t="s">
        <v>130</v>
      </c>
      <c r="E36" s="138" t="s">
        <v>75</v>
      </c>
      <c r="F36" s="138"/>
      <c r="G36" s="135"/>
      <c r="H36" s="135"/>
      <c r="I36" s="135"/>
      <c r="J36" s="135"/>
      <c r="K36" s="135"/>
      <c r="L36" s="136">
        <f t="shared" si="3"/>
        <v>0</v>
      </c>
      <c r="M36" s="135"/>
      <c r="N36" s="135"/>
      <c r="O36" s="137"/>
    </row>
    <row r="37" spans="2:15" ht="22.5" hidden="1">
      <c r="B37" s="143"/>
      <c r="C37" s="138">
        <v>39431</v>
      </c>
      <c r="D37" s="172" t="s">
        <v>131</v>
      </c>
      <c r="E37" s="138" t="s">
        <v>75</v>
      </c>
      <c r="F37" s="138"/>
      <c r="G37" s="135"/>
      <c r="H37" s="135"/>
      <c r="I37" s="135"/>
      <c r="J37" s="135"/>
      <c r="K37" s="135"/>
      <c r="L37" s="136">
        <f t="shared" si="3"/>
        <v>0</v>
      </c>
      <c r="M37" s="135"/>
      <c r="N37" s="135"/>
      <c r="O37" s="137"/>
    </row>
    <row r="38" spans="2:15" ht="22.5" hidden="1">
      <c r="B38" s="143"/>
      <c r="C38" s="138">
        <v>39434</v>
      </c>
      <c r="D38" s="172" t="s">
        <v>132</v>
      </c>
      <c r="E38" s="138" t="s">
        <v>84</v>
      </c>
      <c r="F38" s="138"/>
      <c r="G38" s="135"/>
      <c r="H38" s="135"/>
      <c r="I38" s="135"/>
      <c r="J38" s="135"/>
      <c r="K38" s="135"/>
      <c r="L38" s="136">
        <f t="shared" si="3"/>
        <v>0</v>
      </c>
      <c r="M38" s="135"/>
      <c r="N38" s="135"/>
      <c r="O38" s="137"/>
    </row>
    <row r="39" spans="2:15" hidden="1">
      <c r="B39" s="143"/>
      <c r="C39" s="138">
        <v>98688</v>
      </c>
      <c r="D39" s="172" t="s">
        <v>133</v>
      </c>
      <c r="E39" s="138" t="s">
        <v>75</v>
      </c>
      <c r="F39" s="138"/>
      <c r="G39" s="135"/>
      <c r="H39" s="135"/>
      <c r="I39" s="135"/>
      <c r="J39" s="135"/>
      <c r="K39" s="135"/>
      <c r="L39" s="136">
        <f t="shared" ref="L39:L42" si="5">F39+G39+H39+I39+J39</f>
        <v>0</v>
      </c>
      <c r="M39" s="135"/>
      <c r="N39" s="135"/>
      <c r="O39" s="137"/>
    </row>
    <row r="40" spans="2:15">
      <c r="B40" s="139" t="s">
        <v>93</v>
      </c>
      <c r="C40" s="140"/>
      <c r="D40" s="173" t="s">
        <v>134</v>
      </c>
      <c r="E40" s="140"/>
      <c r="F40" s="140">
        <v>1</v>
      </c>
      <c r="G40" s="140">
        <v>1</v>
      </c>
      <c r="H40" s="140">
        <v>1</v>
      </c>
      <c r="I40" s="140">
        <v>1</v>
      </c>
      <c r="J40" s="140">
        <v>1</v>
      </c>
      <c r="K40" s="140"/>
      <c r="L40" s="136">
        <f t="shared" si="5"/>
        <v>5</v>
      </c>
      <c r="M40" s="140"/>
      <c r="N40" s="140"/>
      <c r="O40" s="145"/>
    </row>
    <row r="41" spans="2:15" ht="22.5" hidden="1">
      <c r="B41" s="143"/>
      <c r="C41" s="146">
        <v>68053</v>
      </c>
      <c r="D41" s="171" t="s">
        <v>135</v>
      </c>
      <c r="E41" s="138" t="s">
        <v>71</v>
      </c>
      <c r="F41" s="138"/>
      <c r="G41" s="135"/>
      <c r="H41" s="135"/>
      <c r="I41" s="135"/>
      <c r="J41" s="135"/>
      <c r="K41" s="135"/>
      <c r="L41" s="136">
        <f t="shared" si="5"/>
        <v>0</v>
      </c>
      <c r="M41" s="135"/>
      <c r="N41" s="135"/>
      <c r="O41" s="137"/>
    </row>
    <row r="42" spans="2:15" hidden="1">
      <c r="B42" s="143"/>
      <c r="C42" s="138">
        <v>12815</v>
      </c>
      <c r="D42" s="171" t="s">
        <v>136</v>
      </c>
      <c r="E42" s="138" t="s">
        <v>44</v>
      </c>
      <c r="F42" s="138"/>
      <c r="G42" s="135"/>
      <c r="H42" s="135"/>
      <c r="I42" s="135"/>
      <c r="J42" s="135"/>
      <c r="K42" s="135"/>
      <c r="L42" s="136">
        <f t="shared" si="5"/>
        <v>0</v>
      </c>
      <c r="M42" s="135"/>
      <c r="N42" s="135"/>
      <c r="O42" s="137"/>
    </row>
    <row r="43" spans="2:15" ht="33.75" hidden="1">
      <c r="B43" s="143"/>
      <c r="C43" s="138">
        <v>87530</v>
      </c>
      <c r="D43" s="171" t="s">
        <v>137</v>
      </c>
      <c r="E43" s="138" t="s">
        <v>71</v>
      </c>
      <c r="F43" s="147"/>
      <c r="G43" s="135"/>
      <c r="H43" s="135"/>
      <c r="I43" s="135"/>
      <c r="J43" s="135"/>
      <c r="K43" s="135"/>
      <c r="L43" s="136">
        <f t="shared" si="3"/>
        <v>0</v>
      </c>
      <c r="M43" s="135"/>
      <c r="N43" s="135"/>
      <c r="O43" s="137"/>
    </row>
    <row r="44" spans="2:15">
      <c r="B44" s="143" t="s">
        <v>93</v>
      </c>
      <c r="C44" s="148">
        <v>88496</v>
      </c>
      <c r="D44" s="171" t="s">
        <v>77</v>
      </c>
      <c r="E44" s="138" t="s">
        <v>71</v>
      </c>
      <c r="F44" s="138">
        <f>+F23</f>
        <v>50.715000000000003</v>
      </c>
      <c r="G44" s="135">
        <v>5</v>
      </c>
      <c r="H44" s="135"/>
      <c r="I44" s="135"/>
      <c r="J44" s="135"/>
      <c r="K44" s="135"/>
      <c r="L44" s="136">
        <f t="shared" ref="L44:L45" si="6">F44+G44+H44+I44+J44</f>
        <v>55.715000000000003</v>
      </c>
      <c r="M44" s="135"/>
      <c r="N44" s="135"/>
      <c r="O44" s="137"/>
    </row>
    <row r="45" spans="2:15">
      <c r="B45" s="143" t="s">
        <v>93</v>
      </c>
      <c r="C45" s="148">
        <v>88497</v>
      </c>
      <c r="D45" s="171" t="s">
        <v>78</v>
      </c>
      <c r="E45" s="138" t="s">
        <v>71</v>
      </c>
      <c r="F45" s="138">
        <f>F22*2</f>
        <v>54.7</v>
      </c>
      <c r="G45" s="135">
        <f>(G21+G22)*2</f>
        <v>65.538000000000011</v>
      </c>
      <c r="H45" s="135">
        <f>(H21+H22)*2</f>
        <v>47.195999999999998</v>
      </c>
      <c r="I45" s="135"/>
      <c r="J45" s="135">
        <f>J21*2</f>
        <v>41.517200000000003</v>
      </c>
      <c r="K45" s="135"/>
      <c r="L45" s="136">
        <f t="shared" si="6"/>
        <v>208.95120000000003</v>
      </c>
      <c r="M45" s="135"/>
      <c r="N45" s="135"/>
      <c r="O45" s="137"/>
    </row>
    <row r="46" spans="2:15" ht="22.5" hidden="1">
      <c r="B46" s="143"/>
      <c r="C46" s="148">
        <v>96131</v>
      </c>
      <c r="D46" s="171" t="s">
        <v>138</v>
      </c>
      <c r="E46" s="138" t="s">
        <v>71</v>
      </c>
      <c r="F46" s="138"/>
      <c r="G46" s="135"/>
      <c r="H46" s="135"/>
      <c r="I46" s="135"/>
      <c r="J46" s="135"/>
      <c r="K46" s="135"/>
      <c r="L46" s="136">
        <f t="shared" si="3"/>
        <v>0</v>
      </c>
      <c r="M46" s="135"/>
      <c r="N46" s="135"/>
      <c r="O46" s="137"/>
    </row>
    <row r="47" spans="2:15" ht="22.5" hidden="1">
      <c r="B47" s="143"/>
      <c r="C47" s="148">
        <v>96135</v>
      </c>
      <c r="D47" s="171" t="s">
        <v>139</v>
      </c>
      <c r="E47" s="138" t="s">
        <v>71</v>
      </c>
      <c r="F47" s="138"/>
      <c r="G47" s="135"/>
      <c r="H47" s="135"/>
      <c r="I47" s="135"/>
      <c r="J47" s="135"/>
      <c r="K47" s="135"/>
      <c r="L47" s="136">
        <f t="shared" si="3"/>
        <v>0</v>
      </c>
      <c r="M47" s="135"/>
      <c r="N47" s="135"/>
      <c r="O47" s="137"/>
    </row>
    <row r="48" spans="2:15">
      <c r="B48" s="143" t="s">
        <v>93</v>
      </c>
      <c r="C48" s="138">
        <v>88484</v>
      </c>
      <c r="D48" s="172" t="s">
        <v>79</v>
      </c>
      <c r="E48" s="138" t="s">
        <v>71</v>
      </c>
      <c r="F48" s="138">
        <f>F44</f>
        <v>50.715000000000003</v>
      </c>
      <c r="G48" s="138">
        <f>G44</f>
        <v>5</v>
      </c>
      <c r="H48" s="135"/>
      <c r="I48" s="135"/>
      <c r="J48" s="135"/>
      <c r="K48" s="135"/>
      <c r="L48" s="136">
        <f t="shared" ref="L48:L49" si="7">F48+G48+H48+I48+J48</f>
        <v>55.715000000000003</v>
      </c>
      <c r="M48" s="135"/>
      <c r="N48" s="135"/>
      <c r="O48" s="137"/>
    </row>
    <row r="49" spans="2:15">
      <c r="B49" s="143" t="s">
        <v>93</v>
      </c>
      <c r="C49" s="138">
        <v>88485</v>
      </c>
      <c r="D49" s="172" t="s">
        <v>80</v>
      </c>
      <c r="E49" s="138" t="s">
        <v>71</v>
      </c>
      <c r="F49" s="138">
        <f>F45</f>
        <v>54.7</v>
      </c>
      <c r="G49" s="149">
        <f>G45</f>
        <v>65.538000000000011</v>
      </c>
      <c r="H49" s="149">
        <f>H45</f>
        <v>47.195999999999998</v>
      </c>
      <c r="I49" s="138">
        <f t="shared" ref="I49:J49" si="8">I45</f>
        <v>0</v>
      </c>
      <c r="J49" s="138">
        <f t="shared" si="8"/>
        <v>41.517200000000003</v>
      </c>
      <c r="K49" s="135"/>
      <c r="L49" s="136">
        <f t="shared" si="7"/>
        <v>208.95120000000003</v>
      </c>
      <c r="M49" s="135"/>
      <c r="N49" s="135"/>
      <c r="O49" s="137"/>
    </row>
    <row r="50" spans="2:15" hidden="1">
      <c r="B50" s="143"/>
      <c r="C50" s="138">
        <v>88482</v>
      </c>
      <c r="D50" s="172" t="s">
        <v>140</v>
      </c>
      <c r="E50" s="138" t="s">
        <v>71</v>
      </c>
      <c r="F50" s="138"/>
      <c r="G50" s="135"/>
      <c r="H50" s="135"/>
      <c r="I50" s="135"/>
      <c r="J50" s="135"/>
      <c r="K50" s="135"/>
      <c r="L50" s="136">
        <f t="shared" si="3"/>
        <v>0</v>
      </c>
      <c r="M50" s="135"/>
      <c r="N50" s="135"/>
      <c r="O50" s="137"/>
    </row>
    <row r="51" spans="2:15" hidden="1">
      <c r="B51" s="143"/>
      <c r="C51" s="138" t="s">
        <v>141</v>
      </c>
      <c r="D51" s="172" t="s">
        <v>142</v>
      </c>
      <c r="E51" s="138" t="s">
        <v>71</v>
      </c>
      <c r="F51" s="138"/>
      <c r="G51" s="135"/>
      <c r="H51" s="135"/>
      <c r="I51" s="135"/>
      <c r="J51" s="135"/>
      <c r="K51" s="135"/>
      <c r="L51" s="136">
        <f t="shared" si="3"/>
        <v>0</v>
      </c>
      <c r="M51" s="135"/>
      <c r="N51" s="135"/>
      <c r="O51" s="137"/>
    </row>
    <row r="52" spans="2:15" ht="22.5">
      <c r="B52" s="143" t="s">
        <v>93</v>
      </c>
      <c r="C52" s="134">
        <v>88488</v>
      </c>
      <c r="D52" s="170" t="s">
        <v>76</v>
      </c>
      <c r="E52" s="138" t="s">
        <v>71</v>
      </c>
      <c r="F52" s="138">
        <f>F48</f>
        <v>50.715000000000003</v>
      </c>
      <c r="G52" s="138">
        <f t="shared" ref="G52:J52" si="9">G48</f>
        <v>5</v>
      </c>
      <c r="H52" s="138">
        <f t="shared" si="9"/>
        <v>0</v>
      </c>
      <c r="I52" s="138">
        <f t="shared" si="9"/>
        <v>0</v>
      </c>
      <c r="J52" s="138">
        <f t="shared" si="9"/>
        <v>0</v>
      </c>
      <c r="K52" s="135"/>
      <c r="L52" s="136">
        <f t="shared" ref="L52:L53" si="10">F52+G52+H52+I52+J52</f>
        <v>55.715000000000003</v>
      </c>
      <c r="M52" s="135"/>
      <c r="N52" s="135"/>
      <c r="O52" s="137"/>
    </row>
    <row r="53" spans="2:15" ht="22.5">
      <c r="B53" s="143" t="s">
        <v>93</v>
      </c>
      <c r="C53" s="134">
        <v>88489</v>
      </c>
      <c r="D53" s="170" t="s">
        <v>81</v>
      </c>
      <c r="E53" s="138" t="s">
        <v>71</v>
      </c>
      <c r="F53" s="138">
        <f>ROUND((2.45*2+2.27*4+4.15*2)*2.68+(2.45*2+2.27*4+4.15*2)*2.68+(2.45*2+2.27*4+4.15*2)*2.68,2)+F48</f>
        <v>229.845</v>
      </c>
      <c r="G53" s="138">
        <f>G49+7.85*2.69+5.12*2.69+1.86*2.69+12.59*2.69+1.68*2.69+((7.65+4.92)*2+(7.65+3.62)*2+(2.34+3.22)*2+(5.12+4.92)+(5.12+2.53)*2+(5.12+4.58)*1)*2.69</f>
        <v>396.24660000000006</v>
      </c>
      <c r="H53" s="138">
        <f>H49+(4.55*2+9.5*2)*2.7+(3.53*2+9.15*2)*2.7</f>
        <v>191.53800000000001</v>
      </c>
      <c r="I53" s="138">
        <f>(3.75+(2.67+0.6+0.6+0.6+3.33))*2.68</f>
        <v>30.954000000000004</v>
      </c>
      <c r="J53" s="138">
        <f>(7.66+7.66+2.365+2.365+7.66+7.66+4.835+4.835)*2.71+(4.82*2+2.25*2)*2.69</f>
        <v>160.09500000000003</v>
      </c>
      <c r="K53" s="135"/>
      <c r="L53" s="136">
        <f t="shared" si="10"/>
        <v>1008.6786000000001</v>
      </c>
      <c r="M53" s="135"/>
      <c r="N53" s="135"/>
      <c r="O53" s="137"/>
    </row>
    <row r="54" spans="2:15" ht="22.5" hidden="1">
      <c r="B54" s="143"/>
      <c r="C54" s="134">
        <v>88486</v>
      </c>
      <c r="D54" s="170" t="s">
        <v>143</v>
      </c>
      <c r="E54" s="138" t="s">
        <v>71</v>
      </c>
      <c r="F54" s="138"/>
      <c r="G54" s="135"/>
      <c r="H54" s="135"/>
      <c r="I54" s="135"/>
      <c r="J54" s="135"/>
      <c r="K54" s="135"/>
      <c r="L54" s="136">
        <f t="shared" si="3"/>
        <v>0</v>
      </c>
      <c r="M54" s="135"/>
      <c r="N54" s="135"/>
      <c r="O54" s="137"/>
    </row>
    <row r="55" spans="2:15" ht="22.5" hidden="1">
      <c r="B55" s="143"/>
      <c r="C55" s="138" t="s">
        <v>144</v>
      </c>
      <c r="D55" s="172" t="s">
        <v>145</v>
      </c>
      <c r="E55" s="138" t="s">
        <v>71</v>
      </c>
      <c r="F55" s="138"/>
      <c r="G55" s="135"/>
      <c r="H55" s="135"/>
      <c r="I55" s="135"/>
      <c r="J55" s="135"/>
      <c r="K55" s="135"/>
      <c r="L55" s="136">
        <f t="shared" si="3"/>
        <v>0</v>
      </c>
      <c r="M55" s="135"/>
      <c r="N55" s="135"/>
      <c r="O55" s="137"/>
    </row>
    <row r="56" spans="2:15" ht="22.5" hidden="1">
      <c r="B56" s="143"/>
      <c r="C56" s="138" t="s">
        <v>146</v>
      </c>
      <c r="D56" s="172" t="s">
        <v>147</v>
      </c>
      <c r="E56" s="138" t="s">
        <v>71</v>
      </c>
      <c r="F56" s="138"/>
      <c r="G56" s="135"/>
      <c r="H56" s="135"/>
      <c r="I56" s="135"/>
      <c r="J56" s="135"/>
      <c r="K56" s="135"/>
      <c r="L56" s="136">
        <f t="shared" si="3"/>
        <v>0</v>
      </c>
      <c r="M56" s="135"/>
      <c r="N56" s="135"/>
      <c r="O56" s="137"/>
    </row>
    <row r="57" spans="2:15" ht="22.5" hidden="1">
      <c r="B57" s="143"/>
      <c r="C57" s="134">
        <v>88423</v>
      </c>
      <c r="D57" s="170" t="s">
        <v>148</v>
      </c>
      <c r="E57" s="138" t="s">
        <v>71</v>
      </c>
      <c r="F57" s="138"/>
      <c r="G57" s="135"/>
      <c r="H57" s="135"/>
      <c r="I57" s="135"/>
      <c r="J57" s="135"/>
      <c r="K57" s="135"/>
      <c r="L57" s="136">
        <f t="shared" si="3"/>
        <v>0</v>
      </c>
      <c r="M57" s="135"/>
      <c r="N57" s="135"/>
      <c r="O57" s="137"/>
    </row>
    <row r="58" spans="2:15" hidden="1">
      <c r="B58" s="143"/>
      <c r="C58" s="134" t="s">
        <v>149</v>
      </c>
      <c r="D58" s="170" t="s">
        <v>150</v>
      </c>
      <c r="E58" s="138" t="s">
        <v>71</v>
      </c>
      <c r="F58" s="138"/>
      <c r="G58" s="135"/>
      <c r="H58" s="135"/>
      <c r="I58" s="135"/>
      <c r="J58" s="135"/>
      <c r="K58" s="135"/>
      <c r="L58" s="136">
        <f t="shared" si="3"/>
        <v>0</v>
      </c>
      <c r="M58" s="135"/>
      <c r="N58" s="135"/>
      <c r="O58" s="137"/>
    </row>
    <row r="59" spans="2:15" hidden="1">
      <c r="B59" s="143"/>
      <c r="C59" s="138" t="s">
        <v>151</v>
      </c>
      <c r="D59" s="172" t="s">
        <v>152</v>
      </c>
      <c r="E59" s="138" t="s">
        <v>71</v>
      </c>
      <c r="F59" s="138"/>
      <c r="G59" s="135"/>
      <c r="H59" s="135"/>
      <c r="I59" s="135"/>
      <c r="J59" s="135"/>
      <c r="K59" s="135"/>
      <c r="L59" s="136">
        <f t="shared" si="3"/>
        <v>0</v>
      </c>
      <c r="M59" s="135"/>
      <c r="N59" s="135"/>
      <c r="O59" s="137"/>
    </row>
    <row r="60" spans="2:15" hidden="1">
      <c r="B60" s="143"/>
      <c r="C60" s="138">
        <v>79466</v>
      </c>
      <c r="D60" s="172" t="s">
        <v>153</v>
      </c>
      <c r="E60" s="138" t="s">
        <v>71</v>
      </c>
      <c r="F60" s="138"/>
      <c r="G60" s="135"/>
      <c r="H60" s="135"/>
      <c r="I60" s="135"/>
      <c r="J60" s="135"/>
      <c r="K60" s="135"/>
      <c r="L60" s="136">
        <f t="shared" si="3"/>
        <v>0</v>
      </c>
      <c r="M60" s="135"/>
      <c r="N60" s="135"/>
      <c r="O60" s="137"/>
    </row>
    <row r="61" spans="2:15" hidden="1">
      <c r="B61" s="143"/>
      <c r="C61" s="138">
        <v>79460</v>
      </c>
      <c r="D61" s="172" t="s">
        <v>154</v>
      </c>
      <c r="E61" s="138" t="s">
        <v>71</v>
      </c>
      <c r="F61" s="138"/>
      <c r="G61" s="135"/>
      <c r="H61" s="135"/>
      <c r="I61" s="135"/>
      <c r="J61" s="135"/>
      <c r="K61" s="135"/>
      <c r="L61" s="136">
        <f t="shared" si="3"/>
        <v>0</v>
      </c>
      <c r="M61" s="135"/>
      <c r="N61" s="135"/>
      <c r="O61" s="137"/>
    </row>
    <row r="62" spans="2:15" hidden="1">
      <c r="B62" s="143"/>
      <c r="C62" s="138" t="s">
        <v>155</v>
      </c>
      <c r="D62" s="172" t="s">
        <v>156</v>
      </c>
      <c r="E62" s="138" t="s">
        <v>71</v>
      </c>
      <c r="F62" s="138"/>
      <c r="G62" s="135"/>
      <c r="H62" s="135"/>
      <c r="I62" s="135"/>
      <c r="J62" s="135"/>
      <c r="K62" s="135"/>
      <c r="L62" s="136">
        <f t="shared" si="3"/>
        <v>0</v>
      </c>
      <c r="M62" s="135"/>
      <c r="N62" s="135"/>
      <c r="O62" s="137"/>
    </row>
    <row r="63" spans="2:15" hidden="1">
      <c r="B63" s="139"/>
      <c r="C63" s="140"/>
      <c r="D63" s="173" t="s">
        <v>157</v>
      </c>
      <c r="E63" s="140"/>
      <c r="F63" s="140"/>
      <c r="G63" s="141"/>
      <c r="H63" s="140"/>
      <c r="I63" s="140"/>
      <c r="J63" s="140"/>
      <c r="K63" s="140"/>
      <c r="L63" s="140">
        <f t="shared" si="3"/>
        <v>0</v>
      </c>
      <c r="M63" s="140"/>
      <c r="N63" s="140"/>
      <c r="O63" s="145"/>
    </row>
    <row r="64" spans="2:15" ht="22.5" hidden="1">
      <c r="B64" s="143"/>
      <c r="C64" s="138" t="s">
        <v>158</v>
      </c>
      <c r="D64" s="171" t="s">
        <v>159</v>
      </c>
      <c r="E64" s="138" t="s">
        <v>71</v>
      </c>
      <c r="F64" s="138"/>
      <c r="G64" s="135"/>
      <c r="H64" s="135"/>
      <c r="I64" s="135"/>
      <c r="J64" s="135"/>
      <c r="K64" s="135"/>
      <c r="L64" s="136">
        <f t="shared" si="3"/>
        <v>0</v>
      </c>
      <c r="M64" s="135"/>
      <c r="N64" s="135"/>
      <c r="O64" s="137"/>
    </row>
    <row r="65" spans="1:15" ht="22.5" hidden="1">
      <c r="B65" s="143"/>
      <c r="C65" s="138">
        <v>10527</v>
      </c>
      <c r="D65" s="171" t="s">
        <v>74</v>
      </c>
      <c r="E65" s="138" t="s">
        <v>160</v>
      </c>
      <c r="F65" s="138"/>
      <c r="G65" s="135"/>
      <c r="H65" s="135"/>
      <c r="I65" s="135"/>
      <c r="J65" s="135"/>
      <c r="K65" s="135"/>
      <c r="L65" s="136">
        <f t="shared" si="3"/>
        <v>0</v>
      </c>
      <c r="M65" s="135"/>
      <c r="N65" s="135"/>
      <c r="O65" s="137"/>
    </row>
    <row r="66" spans="1:15" ht="22.5" hidden="1">
      <c r="B66" s="143"/>
      <c r="C66" s="138">
        <v>97064</v>
      </c>
      <c r="D66" s="171" t="s">
        <v>161</v>
      </c>
      <c r="E66" s="138" t="s">
        <v>75</v>
      </c>
      <c r="F66" s="138"/>
      <c r="G66" s="135"/>
      <c r="H66" s="135"/>
      <c r="I66" s="135"/>
      <c r="J66" s="135"/>
      <c r="K66" s="135"/>
      <c r="L66" s="136">
        <f t="shared" si="3"/>
        <v>0</v>
      </c>
      <c r="M66" s="135"/>
      <c r="N66" s="135"/>
      <c r="O66" s="137"/>
    </row>
    <row r="67" spans="1:15">
      <c r="B67" s="139" t="s">
        <v>93</v>
      </c>
      <c r="C67" s="140"/>
      <c r="D67" s="173" t="s">
        <v>162</v>
      </c>
      <c r="E67" s="140"/>
      <c r="F67" s="140">
        <v>1</v>
      </c>
      <c r="G67" s="140">
        <v>1</v>
      </c>
      <c r="H67" s="140">
        <v>1</v>
      </c>
      <c r="I67" s="140">
        <v>1</v>
      </c>
      <c r="J67" s="140">
        <v>1</v>
      </c>
      <c r="K67" s="140"/>
      <c r="L67" s="136">
        <f t="shared" ref="L67:L103" si="11">F67+G67+H67+I67+J67</f>
        <v>5</v>
      </c>
      <c r="M67" s="140"/>
      <c r="N67" s="140"/>
      <c r="O67" s="145"/>
    </row>
    <row r="68" spans="1:15">
      <c r="B68" s="133" t="s">
        <v>93</v>
      </c>
      <c r="C68" s="134">
        <v>99802</v>
      </c>
      <c r="D68" s="170" t="s">
        <v>163</v>
      </c>
      <c r="E68" s="134" t="s">
        <v>71</v>
      </c>
      <c r="F68" s="134">
        <f>F48</f>
        <v>50.715000000000003</v>
      </c>
      <c r="G68" s="135">
        <v>212</v>
      </c>
      <c r="H68" s="135">
        <f>37.9+5.2+18.5+7</f>
        <v>68.599999999999994</v>
      </c>
      <c r="I68" s="135">
        <v>24.3</v>
      </c>
      <c r="J68" s="135">
        <f>36.7+17.8</f>
        <v>54.5</v>
      </c>
      <c r="K68" s="135"/>
      <c r="L68" s="136">
        <f t="shared" si="11"/>
        <v>410.11500000000007</v>
      </c>
      <c r="M68" s="135"/>
      <c r="N68" s="135"/>
      <c r="O68" s="137"/>
    </row>
    <row r="69" spans="1:15" hidden="1">
      <c r="B69" s="133"/>
      <c r="C69" s="134">
        <v>99803</v>
      </c>
      <c r="D69" s="170" t="s">
        <v>164</v>
      </c>
      <c r="E69" s="134" t="s">
        <v>71</v>
      </c>
      <c r="F69" s="134"/>
      <c r="G69" s="135"/>
      <c r="H69" s="135"/>
      <c r="I69" s="135"/>
      <c r="J69" s="135"/>
      <c r="K69" s="135"/>
      <c r="L69" s="136">
        <f t="shared" si="11"/>
        <v>0</v>
      </c>
      <c r="M69" s="135"/>
      <c r="N69" s="135"/>
      <c r="O69" s="137"/>
    </row>
    <row r="70" spans="1:15" hidden="1">
      <c r="B70" s="133"/>
      <c r="C70" s="134">
        <v>99811</v>
      </c>
      <c r="D70" s="170" t="s">
        <v>165</v>
      </c>
      <c r="E70" s="134" t="s">
        <v>71</v>
      </c>
      <c r="F70" s="134"/>
      <c r="G70" s="135"/>
      <c r="H70" s="135"/>
      <c r="I70" s="135"/>
      <c r="J70" s="135"/>
      <c r="K70" s="135"/>
      <c r="L70" s="136">
        <f t="shared" si="11"/>
        <v>0</v>
      </c>
      <c r="M70" s="135"/>
      <c r="N70" s="135"/>
      <c r="O70" s="137"/>
    </row>
    <row r="71" spans="1:15">
      <c r="B71" s="150" t="s">
        <v>93</v>
      </c>
      <c r="C71" s="151">
        <v>88037</v>
      </c>
      <c r="D71" s="174" t="s">
        <v>166</v>
      </c>
      <c r="E71" s="151" t="s">
        <v>167</v>
      </c>
      <c r="F71" s="151">
        <f>F68*0.01</f>
        <v>0.50714999999999999</v>
      </c>
      <c r="G71" s="151">
        <f t="shared" ref="G71:J71" si="12">G68*0.01</f>
        <v>2.12</v>
      </c>
      <c r="H71" s="151">
        <f t="shared" si="12"/>
        <v>0.68599999999999994</v>
      </c>
      <c r="I71" s="151">
        <f t="shared" si="12"/>
        <v>0.24300000000000002</v>
      </c>
      <c r="J71" s="151">
        <f t="shared" si="12"/>
        <v>0.54500000000000004</v>
      </c>
      <c r="K71" s="152"/>
      <c r="L71" s="136">
        <f t="shared" si="11"/>
        <v>4.1011500000000005</v>
      </c>
      <c r="M71" s="135"/>
      <c r="N71" s="135"/>
      <c r="O71" s="137"/>
    </row>
    <row r="72" spans="1:15">
      <c r="B72" s="139" t="s">
        <v>93</v>
      </c>
      <c r="C72" s="140"/>
      <c r="D72" s="173" t="s">
        <v>168</v>
      </c>
      <c r="E72" s="140"/>
      <c r="F72" s="140"/>
      <c r="G72" s="141"/>
      <c r="H72" s="140"/>
      <c r="I72" s="140"/>
      <c r="J72" s="140"/>
      <c r="K72" s="140"/>
      <c r="L72" s="136">
        <f t="shared" si="11"/>
        <v>0</v>
      </c>
      <c r="M72" s="140"/>
      <c r="N72" s="140"/>
      <c r="O72" s="145"/>
    </row>
    <row r="73" spans="1:15" s="184" customFormat="1">
      <c r="A73" s="177"/>
      <c r="B73" s="178" t="s">
        <v>93</v>
      </c>
      <c r="C73" s="179"/>
      <c r="D73" s="180" t="s">
        <v>169</v>
      </c>
      <c r="E73" s="179"/>
      <c r="F73" s="179">
        <v>1</v>
      </c>
      <c r="G73" s="181">
        <v>1</v>
      </c>
      <c r="H73" s="182"/>
      <c r="I73" s="181"/>
      <c r="J73" s="182"/>
      <c r="K73" s="181"/>
      <c r="L73" s="182">
        <f t="shared" si="11"/>
        <v>2</v>
      </c>
      <c r="M73" s="182"/>
      <c r="N73" s="182"/>
      <c r="O73" s="183"/>
    </row>
    <row r="74" spans="1:15">
      <c r="B74" s="150" t="s">
        <v>93</v>
      </c>
      <c r="C74" s="151" t="s">
        <v>212</v>
      </c>
      <c r="D74" s="174" t="s">
        <v>170</v>
      </c>
      <c r="E74" s="151" t="s">
        <v>171</v>
      </c>
      <c r="F74" s="151">
        <v>3</v>
      </c>
      <c r="G74" s="152"/>
      <c r="H74" s="135"/>
      <c r="I74" s="152"/>
      <c r="J74" s="135"/>
      <c r="K74" s="152"/>
      <c r="L74" s="136">
        <f t="shared" si="11"/>
        <v>3</v>
      </c>
      <c r="M74" s="135"/>
      <c r="N74" s="135"/>
      <c r="O74" s="137"/>
    </row>
    <row r="75" spans="1:15">
      <c r="B75" s="150" t="s">
        <v>93</v>
      </c>
      <c r="C75" s="151" t="s">
        <v>213</v>
      </c>
      <c r="D75" s="174" t="s">
        <v>172</v>
      </c>
      <c r="E75" s="151" t="s">
        <v>171</v>
      </c>
      <c r="F75" s="151"/>
      <c r="G75" s="152">
        <v>1</v>
      </c>
      <c r="H75" s="135"/>
      <c r="I75" s="152"/>
      <c r="J75" s="135"/>
      <c r="K75" s="152"/>
      <c r="L75" s="136">
        <f t="shared" si="11"/>
        <v>1</v>
      </c>
      <c r="M75" s="135"/>
      <c r="N75" s="135"/>
      <c r="O75" s="137"/>
    </row>
    <row r="76" spans="1:15">
      <c r="B76" s="150" t="s">
        <v>93</v>
      </c>
      <c r="C76" s="151" t="s">
        <v>214</v>
      </c>
      <c r="D76" s="174" t="s">
        <v>173</v>
      </c>
      <c r="E76" s="151" t="s">
        <v>171</v>
      </c>
      <c r="F76" s="151"/>
      <c r="G76" s="152">
        <v>1</v>
      </c>
      <c r="H76" s="135"/>
      <c r="I76" s="152"/>
      <c r="J76" s="135"/>
      <c r="K76" s="152"/>
      <c r="L76" s="136">
        <f t="shared" si="11"/>
        <v>1</v>
      </c>
      <c r="M76" s="135"/>
      <c r="N76" s="135"/>
      <c r="O76" s="137"/>
    </row>
    <row r="77" spans="1:15">
      <c r="B77" s="150" t="s">
        <v>93</v>
      </c>
      <c r="C77" s="151" t="s">
        <v>215</v>
      </c>
      <c r="D77" s="174" t="s">
        <v>174</v>
      </c>
      <c r="E77" s="151" t="s">
        <v>71</v>
      </c>
      <c r="F77" s="151">
        <f>3*1*1.2</f>
        <v>3.5999999999999996</v>
      </c>
      <c r="G77" s="152">
        <f>2.2*1.2+3.18*1+2.2*1+5.75*1.2</f>
        <v>14.919999999999998</v>
      </c>
      <c r="H77" s="135"/>
      <c r="I77" s="152"/>
      <c r="J77" s="135"/>
      <c r="K77" s="152"/>
      <c r="L77" s="136">
        <f t="shared" si="11"/>
        <v>18.519999999999996</v>
      </c>
      <c r="M77" s="135"/>
      <c r="N77" s="135"/>
      <c r="O77" s="137"/>
    </row>
    <row r="78" spans="1:15" s="184" customFormat="1">
      <c r="A78" s="177"/>
      <c r="B78" s="178" t="s">
        <v>93</v>
      </c>
      <c r="C78" s="179"/>
      <c r="D78" s="180" t="s">
        <v>175</v>
      </c>
      <c r="E78" s="179"/>
      <c r="F78" s="179">
        <v>1</v>
      </c>
      <c r="G78" s="181">
        <v>1</v>
      </c>
      <c r="H78" s="182">
        <v>1</v>
      </c>
      <c r="I78" s="181"/>
      <c r="J78" s="182">
        <v>1</v>
      </c>
      <c r="K78" s="181"/>
      <c r="L78" s="182">
        <f t="shared" si="11"/>
        <v>4</v>
      </c>
      <c r="M78" s="182"/>
      <c r="N78" s="182"/>
      <c r="O78" s="183"/>
    </row>
    <row r="79" spans="1:15" ht="56.25">
      <c r="B79" s="150" t="s">
        <v>93</v>
      </c>
      <c r="C79" s="151" t="s">
        <v>216</v>
      </c>
      <c r="D79" s="174" t="s">
        <v>236</v>
      </c>
      <c r="E79" s="151" t="s">
        <v>171</v>
      </c>
      <c r="F79" s="151">
        <v>5</v>
      </c>
      <c r="G79" s="152"/>
      <c r="H79" s="135"/>
      <c r="I79" s="152"/>
      <c r="J79" s="135"/>
      <c r="K79" s="152"/>
      <c r="L79" s="136">
        <f t="shared" si="11"/>
        <v>5</v>
      </c>
      <c r="M79" s="135"/>
      <c r="N79" s="135"/>
      <c r="O79" s="137"/>
    </row>
    <row r="80" spans="1:15" ht="67.5">
      <c r="B80" s="150" t="s">
        <v>93</v>
      </c>
      <c r="C80" s="151" t="s">
        <v>217</v>
      </c>
      <c r="D80" s="174" t="s">
        <v>176</v>
      </c>
      <c r="E80" s="151" t="s">
        <v>171</v>
      </c>
      <c r="F80" s="151"/>
      <c r="G80" s="152">
        <v>1</v>
      </c>
      <c r="H80" s="135"/>
      <c r="I80" s="152"/>
      <c r="J80" s="135">
        <v>1</v>
      </c>
      <c r="K80" s="152"/>
      <c r="L80" s="136">
        <f t="shared" si="11"/>
        <v>2</v>
      </c>
      <c r="M80" s="135"/>
      <c r="N80" s="135"/>
      <c r="O80" s="137"/>
    </row>
    <row r="81" spans="1:15" ht="67.5">
      <c r="B81" s="150" t="s">
        <v>93</v>
      </c>
      <c r="C81" s="151" t="s">
        <v>218</v>
      </c>
      <c r="D81" s="174" t="s">
        <v>177</v>
      </c>
      <c r="E81" s="151" t="s">
        <v>171</v>
      </c>
      <c r="F81" s="151"/>
      <c r="G81" s="152">
        <v>1</v>
      </c>
      <c r="H81" s="135"/>
      <c r="I81" s="152"/>
      <c r="J81" s="135"/>
      <c r="K81" s="152"/>
      <c r="L81" s="136">
        <f t="shared" si="11"/>
        <v>1</v>
      </c>
      <c r="M81" s="135"/>
      <c r="N81" s="135"/>
      <c r="O81" s="137"/>
    </row>
    <row r="82" spans="1:15" ht="67.5">
      <c r="B82" s="150" t="s">
        <v>93</v>
      </c>
      <c r="C82" s="151" t="s">
        <v>219</v>
      </c>
      <c r="D82" s="174" t="s">
        <v>178</v>
      </c>
      <c r="E82" s="151" t="s">
        <v>171</v>
      </c>
      <c r="F82" s="151"/>
      <c r="G82" s="152">
        <v>1</v>
      </c>
      <c r="H82" s="135"/>
      <c r="I82" s="152"/>
      <c r="J82" s="135"/>
      <c r="K82" s="152"/>
      <c r="L82" s="136">
        <f t="shared" si="11"/>
        <v>1</v>
      </c>
      <c r="M82" s="135"/>
      <c r="N82" s="135"/>
      <c r="O82" s="137"/>
    </row>
    <row r="83" spans="1:15" ht="67.5">
      <c r="B83" s="150" t="s">
        <v>93</v>
      </c>
      <c r="C83" s="151" t="s">
        <v>220</v>
      </c>
      <c r="D83" s="174" t="s">
        <v>179</v>
      </c>
      <c r="E83" s="151" t="s">
        <v>171</v>
      </c>
      <c r="F83" s="151"/>
      <c r="G83" s="152"/>
      <c r="H83" s="135">
        <v>1</v>
      </c>
      <c r="I83" s="152"/>
      <c r="J83" s="135"/>
      <c r="K83" s="152"/>
      <c r="L83" s="136">
        <f t="shared" si="11"/>
        <v>1</v>
      </c>
      <c r="M83" s="135"/>
      <c r="N83" s="135"/>
      <c r="O83" s="137"/>
    </row>
    <row r="84" spans="1:15" s="184" customFormat="1">
      <c r="A84" s="177"/>
      <c r="B84" s="178" t="s">
        <v>93</v>
      </c>
      <c r="C84" s="179"/>
      <c r="D84" s="180" t="s">
        <v>180</v>
      </c>
      <c r="E84" s="179"/>
      <c r="F84" s="179">
        <v>1</v>
      </c>
      <c r="G84" s="181">
        <v>1</v>
      </c>
      <c r="H84" s="182">
        <v>1</v>
      </c>
      <c r="I84" s="181"/>
      <c r="J84" s="182"/>
      <c r="K84" s="181"/>
      <c r="L84" s="182">
        <f t="shared" si="11"/>
        <v>3</v>
      </c>
      <c r="M84" s="182"/>
      <c r="N84" s="182"/>
      <c r="O84" s="183"/>
    </row>
    <row r="85" spans="1:15" ht="33.75">
      <c r="B85" s="150" t="s">
        <v>93</v>
      </c>
      <c r="C85" s="151" t="s">
        <v>181</v>
      </c>
      <c r="D85" s="174" t="s">
        <v>269</v>
      </c>
      <c r="E85" s="151" t="s">
        <v>71</v>
      </c>
      <c r="F85" s="151">
        <f>0.6*0.3*3</f>
        <v>0.54</v>
      </c>
      <c r="G85" s="152">
        <f>1.8*0.3+1.5*0.3</f>
        <v>0.99</v>
      </c>
      <c r="H85" s="135">
        <f>1.6*0.3</f>
        <v>0.48</v>
      </c>
      <c r="I85" s="152"/>
      <c r="J85" s="135"/>
      <c r="K85" s="152"/>
      <c r="L85" s="136">
        <f t="shared" si="11"/>
        <v>2.0099999999999998</v>
      </c>
      <c r="M85" s="135"/>
      <c r="N85" s="135"/>
      <c r="O85" s="137"/>
    </row>
    <row r="86" spans="1:15" s="184" customFormat="1">
      <c r="A86" s="177"/>
      <c r="B86" s="178" t="s">
        <v>93</v>
      </c>
      <c r="C86" s="179"/>
      <c r="D86" s="180" t="s">
        <v>182</v>
      </c>
      <c r="E86" s="179"/>
      <c r="F86" s="179">
        <v>1</v>
      </c>
      <c r="G86" s="181">
        <v>1</v>
      </c>
      <c r="H86" s="182"/>
      <c r="I86" s="181"/>
      <c r="J86" s="182">
        <v>1</v>
      </c>
      <c r="K86" s="181"/>
      <c r="L86" s="182">
        <f t="shared" si="11"/>
        <v>3</v>
      </c>
      <c r="M86" s="182"/>
      <c r="N86" s="182"/>
      <c r="O86" s="183"/>
    </row>
    <row r="87" spans="1:15" ht="22.5">
      <c r="B87" s="150" t="s">
        <v>93</v>
      </c>
      <c r="C87" s="151" t="s">
        <v>221</v>
      </c>
      <c r="D87" s="174" t="s">
        <v>183</v>
      </c>
      <c r="E87" s="151" t="s">
        <v>71</v>
      </c>
      <c r="F87" s="151"/>
      <c r="G87" s="152">
        <v>2</v>
      </c>
      <c r="H87" s="135"/>
      <c r="I87" s="152"/>
      <c r="J87" s="135"/>
      <c r="K87" s="152"/>
      <c r="L87" s="136">
        <f t="shared" si="11"/>
        <v>2</v>
      </c>
      <c r="M87" s="135"/>
      <c r="N87" s="135"/>
      <c r="O87" s="137"/>
    </row>
    <row r="88" spans="1:15">
      <c r="B88" s="150" t="s">
        <v>93</v>
      </c>
      <c r="C88" s="151" t="s">
        <v>222</v>
      </c>
      <c r="D88" s="174" t="s">
        <v>184</v>
      </c>
      <c r="E88" s="151" t="s">
        <v>75</v>
      </c>
      <c r="F88" s="151">
        <f>11.8+14.7+8.9+8.1</f>
        <v>43.5</v>
      </c>
      <c r="G88" s="152">
        <f>1.1+1.1+0.3+0.3+4.57+2.71+1.58+1.58+1.71+1.72+3.66+0.7+0.9+2.4</f>
        <v>24.329999999999995</v>
      </c>
      <c r="H88" s="135"/>
      <c r="I88" s="152"/>
      <c r="J88" s="135">
        <f>7.66*2</f>
        <v>15.32</v>
      </c>
      <c r="K88" s="152"/>
      <c r="L88" s="136">
        <f t="shared" si="11"/>
        <v>83.15</v>
      </c>
      <c r="M88" s="135"/>
      <c r="N88" s="135"/>
      <c r="O88" s="137"/>
    </row>
    <row r="89" spans="1:15" s="184" customFormat="1">
      <c r="A89" s="177"/>
      <c r="B89" s="178" t="s">
        <v>93</v>
      </c>
      <c r="C89" s="179"/>
      <c r="D89" s="180" t="s">
        <v>185</v>
      </c>
      <c r="E89" s="179"/>
      <c r="F89" s="179">
        <v>1</v>
      </c>
      <c r="G89" s="181"/>
      <c r="H89" s="182"/>
      <c r="I89" s="181"/>
      <c r="J89" s="182"/>
      <c r="K89" s="181"/>
      <c r="L89" s="182">
        <f t="shared" si="11"/>
        <v>1</v>
      </c>
      <c r="M89" s="182"/>
      <c r="N89" s="182"/>
      <c r="O89" s="183"/>
    </row>
    <row r="90" spans="1:15" ht="22.5">
      <c r="B90" s="150" t="s">
        <v>93</v>
      </c>
      <c r="C90" s="151" t="s">
        <v>223</v>
      </c>
      <c r="D90" s="174" t="s">
        <v>186</v>
      </c>
      <c r="E90" s="151" t="s">
        <v>171</v>
      </c>
      <c r="F90" s="151">
        <v>3</v>
      </c>
      <c r="G90" s="152"/>
      <c r="H90" s="135"/>
      <c r="I90" s="152"/>
      <c r="J90" s="135"/>
      <c r="K90" s="152"/>
      <c r="L90" s="136">
        <f t="shared" si="11"/>
        <v>3</v>
      </c>
      <c r="M90" s="135"/>
      <c r="N90" s="135"/>
      <c r="O90" s="137"/>
    </row>
    <row r="91" spans="1:15">
      <c r="B91" s="150" t="s">
        <v>93</v>
      </c>
      <c r="C91" s="151" t="s">
        <v>224</v>
      </c>
      <c r="D91" s="174" t="s">
        <v>187</v>
      </c>
      <c r="E91" s="151" t="s">
        <v>171</v>
      </c>
      <c r="F91" s="151">
        <v>3</v>
      </c>
      <c r="G91" s="152">
        <v>3</v>
      </c>
      <c r="H91" s="135">
        <v>1</v>
      </c>
      <c r="I91" s="152"/>
      <c r="J91" s="135"/>
      <c r="K91" s="152"/>
      <c r="L91" s="136">
        <f t="shared" si="11"/>
        <v>7</v>
      </c>
      <c r="M91" s="135"/>
      <c r="N91" s="135"/>
      <c r="O91" s="137"/>
    </row>
    <row r="92" spans="1:15" s="184" customFormat="1">
      <c r="A92" s="177"/>
      <c r="B92" s="178" t="s">
        <v>93</v>
      </c>
      <c r="C92" s="179"/>
      <c r="D92" s="180" t="s">
        <v>188</v>
      </c>
      <c r="E92" s="179"/>
      <c r="F92" s="179"/>
      <c r="G92" s="181">
        <v>1</v>
      </c>
      <c r="H92" s="182">
        <v>1</v>
      </c>
      <c r="I92" s="181"/>
      <c r="J92" s="182"/>
      <c r="K92" s="181"/>
      <c r="L92" s="182">
        <f t="shared" si="11"/>
        <v>2</v>
      </c>
      <c r="M92" s="182"/>
      <c r="N92" s="182"/>
      <c r="O92" s="183"/>
    </row>
    <row r="93" spans="1:15" ht="56.25">
      <c r="B93" s="150" t="s">
        <v>93</v>
      </c>
      <c r="C93" s="151" t="s">
        <v>225</v>
      </c>
      <c r="D93" s="174" t="s">
        <v>189</v>
      </c>
      <c r="E93" s="151" t="s">
        <v>171</v>
      </c>
      <c r="F93" s="151"/>
      <c r="G93" s="152">
        <v>1</v>
      </c>
      <c r="H93" s="135"/>
      <c r="I93" s="152"/>
      <c r="J93" s="135"/>
      <c r="K93" s="152"/>
      <c r="L93" s="136">
        <f t="shared" si="11"/>
        <v>1</v>
      </c>
      <c r="M93" s="135"/>
      <c r="N93" s="135"/>
      <c r="O93" s="137"/>
    </row>
    <row r="94" spans="1:15" ht="33.75">
      <c r="B94" s="150" t="s">
        <v>93</v>
      </c>
      <c r="C94" s="151" t="s">
        <v>226</v>
      </c>
      <c r="D94" s="174" t="s">
        <v>190</v>
      </c>
      <c r="E94" s="151" t="s">
        <v>171</v>
      </c>
      <c r="F94" s="151"/>
      <c r="G94" s="152">
        <v>1</v>
      </c>
      <c r="H94" s="135"/>
      <c r="I94" s="152"/>
      <c r="J94" s="135"/>
      <c r="K94" s="152"/>
      <c r="L94" s="136">
        <f t="shared" si="11"/>
        <v>1</v>
      </c>
      <c r="M94" s="135"/>
      <c r="N94" s="135"/>
      <c r="O94" s="137"/>
    </row>
    <row r="95" spans="1:15">
      <c r="B95" s="150" t="s">
        <v>93</v>
      </c>
      <c r="C95" s="151" t="s">
        <v>227</v>
      </c>
      <c r="D95" s="174" t="s">
        <v>191</v>
      </c>
      <c r="E95" s="151" t="s">
        <v>171</v>
      </c>
      <c r="F95" s="151"/>
      <c r="G95" s="152"/>
      <c r="H95" s="135"/>
      <c r="I95" s="152"/>
      <c r="J95" s="135"/>
      <c r="K95" s="152"/>
      <c r="L95" s="136">
        <f t="shared" si="11"/>
        <v>0</v>
      </c>
      <c r="M95" s="135"/>
      <c r="N95" s="135"/>
      <c r="O95" s="137"/>
    </row>
    <row r="96" spans="1:15">
      <c r="B96" s="150" t="s">
        <v>93</v>
      </c>
      <c r="C96" s="151" t="s">
        <v>228</v>
      </c>
      <c r="D96" s="174" t="s">
        <v>192</v>
      </c>
      <c r="E96" s="151" t="s">
        <v>171</v>
      </c>
      <c r="F96" s="151"/>
      <c r="G96" s="152"/>
      <c r="H96" s="135"/>
      <c r="I96" s="152"/>
      <c r="J96" s="135"/>
      <c r="K96" s="152"/>
      <c r="L96" s="136">
        <f t="shared" si="11"/>
        <v>0</v>
      </c>
      <c r="M96" s="135"/>
      <c r="N96" s="135"/>
      <c r="O96" s="137"/>
    </row>
    <row r="97" spans="1:33" ht="45">
      <c r="B97" s="150" t="s">
        <v>93</v>
      </c>
      <c r="C97" s="151" t="s">
        <v>229</v>
      </c>
      <c r="D97" s="174" t="s">
        <v>193</v>
      </c>
      <c r="E97" s="151" t="s">
        <v>171</v>
      </c>
      <c r="F97" s="151"/>
      <c r="G97" s="152"/>
      <c r="H97" s="135">
        <v>1</v>
      </c>
      <c r="I97" s="152"/>
      <c r="J97" s="135"/>
      <c r="K97" s="152"/>
      <c r="L97" s="136">
        <f t="shared" si="11"/>
        <v>1</v>
      </c>
      <c r="M97" s="135"/>
      <c r="N97" s="135"/>
      <c r="O97" s="137"/>
    </row>
    <row r="98" spans="1:33" s="184" customFormat="1">
      <c r="A98" s="177"/>
      <c r="B98" s="178" t="s">
        <v>93</v>
      </c>
      <c r="C98" s="179"/>
      <c r="D98" s="180" t="s">
        <v>194</v>
      </c>
      <c r="E98" s="179"/>
      <c r="F98" s="179">
        <v>1</v>
      </c>
      <c r="G98" s="181">
        <v>1</v>
      </c>
      <c r="H98" s="182">
        <v>1</v>
      </c>
      <c r="I98" s="181">
        <v>1</v>
      </c>
      <c r="J98" s="182">
        <v>1</v>
      </c>
      <c r="K98" s="181"/>
      <c r="L98" s="182">
        <f t="shared" si="11"/>
        <v>5</v>
      </c>
      <c r="M98" s="182"/>
      <c r="N98" s="182"/>
      <c r="O98" s="183"/>
    </row>
    <row r="99" spans="1:33">
      <c r="B99" s="150" t="s">
        <v>93</v>
      </c>
      <c r="C99" s="151" t="s">
        <v>230</v>
      </c>
      <c r="D99" s="174" t="s">
        <v>195</v>
      </c>
      <c r="E99" s="151" t="s">
        <v>207</v>
      </c>
      <c r="F99" s="151"/>
      <c r="G99" s="152">
        <v>1</v>
      </c>
      <c r="H99" s="135"/>
      <c r="I99" s="152"/>
      <c r="J99" s="135"/>
      <c r="K99" s="152"/>
      <c r="L99" s="136">
        <f t="shared" si="11"/>
        <v>1</v>
      </c>
      <c r="M99" s="135"/>
      <c r="N99" s="135"/>
      <c r="O99" s="137"/>
    </row>
    <row r="100" spans="1:33">
      <c r="B100" s="150" t="s">
        <v>93</v>
      </c>
      <c r="C100" s="151" t="s">
        <v>231</v>
      </c>
      <c r="D100" s="174" t="s">
        <v>196</v>
      </c>
      <c r="E100" s="151" t="s">
        <v>207</v>
      </c>
      <c r="F100" s="151"/>
      <c r="G100" s="152"/>
      <c r="H100" s="135">
        <v>1</v>
      </c>
      <c r="I100" s="152"/>
      <c r="J100" s="135"/>
      <c r="K100" s="152"/>
      <c r="L100" s="136">
        <f t="shared" si="11"/>
        <v>1</v>
      </c>
      <c r="M100" s="135"/>
      <c r="N100" s="135"/>
      <c r="O100" s="137"/>
    </row>
    <row r="101" spans="1:33">
      <c r="B101" s="150" t="s">
        <v>93</v>
      </c>
      <c r="C101" s="151" t="s">
        <v>232</v>
      </c>
      <c r="D101" s="174" t="s">
        <v>197</v>
      </c>
      <c r="E101" s="151" t="s">
        <v>207</v>
      </c>
      <c r="F101" s="151"/>
      <c r="G101" s="152"/>
      <c r="H101" s="135"/>
      <c r="I101" s="152">
        <v>1</v>
      </c>
      <c r="J101" s="135"/>
      <c r="K101" s="152"/>
      <c r="L101" s="136">
        <f t="shared" si="11"/>
        <v>1</v>
      </c>
      <c r="M101" s="135"/>
      <c r="N101" s="135"/>
      <c r="O101" s="137"/>
    </row>
    <row r="102" spans="1:33">
      <c r="B102" s="150" t="s">
        <v>93</v>
      </c>
      <c r="C102" s="151" t="s">
        <v>233</v>
      </c>
      <c r="D102" s="174" t="s">
        <v>198</v>
      </c>
      <c r="E102" s="151" t="s">
        <v>207</v>
      </c>
      <c r="F102" s="151">
        <v>1</v>
      </c>
      <c r="G102" s="152"/>
      <c r="H102" s="135"/>
      <c r="I102" s="152"/>
      <c r="J102" s="135"/>
      <c r="K102" s="152"/>
      <c r="L102" s="136">
        <f t="shared" si="11"/>
        <v>1</v>
      </c>
      <c r="M102" s="135"/>
      <c r="N102" s="135"/>
      <c r="O102" s="137"/>
    </row>
    <row r="103" spans="1:33">
      <c r="B103" s="150" t="s">
        <v>93</v>
      </c>
      <c r="C103" s="151" t="s">
        <v>234</v>
      </c>
      <c r="D103" s="174" t="s">
        <v>199</v>
      </c>
      <c r="E103" s="151" t="s">
        <v>207</v>
      </c>
      <c r="F103" s="151"/>
      <c r="G103" s="152"/>
      <c r="H103" s="135"/>
      <c r="I103" s="152"/>
      <c r="J103" s="135">
        <v>1</v>
      </c>
      <c r="K103" s="152"/>
      <c r="L103" s="136">
        <f t="shared" si="11"/>
        <v>1</v>
      </c>
      <c r="M103" s="135"/>
      <c r="N103" s="135"/>
      <c r="O103" s="137"/>
    </row>
    <row r="104" spans="1:33" ht="13.5" thickBot="1">
      <c r="B104" s="150" t="s">
        <v>93</v>
      </c>
      <c r="C104" s="151" t="s">
        <v>235</v>
      </c>
      <c r="D104" s="174" t="s">
        <v>200</v>
      </c>
      <c r="E104" s="151" t="s">
        <v>207</v>
      </c>
      <c r="F104" s="151"/>
      <c r="G104" s="152"/>
      <c r="H104" s="135">
        <v>1</v>
      </c>
      <c r="I104" s="152"/>
      <c r="J104" s="135"/>
      <c r="K104" s="152"/>
      <c r="L104" s="136">
        <f>F104+G104+H104+I104+J104</f>
        <v>1</v>
      </c>
      <c r="M104" s="135"/>
      <c r="N104" s="135"/>
      <c r="O104" s="137"/>
    </row>
    <row r="105" spans="1:33" ht="13.5" hidden="1" thickBot="1">
      <c r="B105" s="150"/>
      <c r="C105" s="151"/>
      <c r="D105" s="174"/>
      <c r="E105" s="151"/>
      <c r="F105" s="151"/>
      <c r="G105" s="152"/>
      <c r="H105" s="135"/>
      <c r="I105" s="152"/>
      <c r="J105" s="135"/>
      <c r="K105" s="152"/>
      <c r="L105" s="136">
        <f t="shared" ref="L105:L109" si="13">F105+G105+H105+I105</f>
        <v>0</v>
      </c>
      <c r="M105" s="135"/>
      <c r="N105" s="135"/>
      <c r="O105" s="137"/>
    </row>
    <row r="106" spans="1:33" ht="13.5" hidden="1" thickBot="1">
      <c r="B106" s="150"/>
      <c r="C106" s="151"/>
      <c r="D106" s="174"/>
      <c r="E106" s="151"/>
      <c r="F106" s="151"/>
      <c r="G106" s="152"/>
      <c r="H106" s="135"/>
      <c r="I106" s="152"/>
      <c r="J106" s="135"/>
      <c r="K106" s="152"/>
      <c r="L106" s="136">
        <f t="shared" si="13"/>
        <v>0</v>
      </c>
      <c r="M106" s="135"/>
      <c r="N106" s="135"/>
      <c r="O106" s="137"/>
    </row>
    <row r="107" spans="1:33" ht="13.5" hidden="1" thickBot="1">
      <c r="B107" s="150"/>
      <c r="C107" s="151"/>
      <c r="D107" s="174"/>
      <c r="E107" s="151"/>
      <c r="F107" s="151"/>
      <c r="G107" s="152"/>
      <c r="H107" s="135"/>
      <c r="I107" s="152"/>
      <c r="J107" s="135"/>
      <c r="K107" s="152"/>
      <c r="L107" s="136">
        <f t="shared" si="13"/>
        <v>0</v>
      </c>
      <c r="M107" s="135"/>
      <c r="N107" s="135"/>
      <c r="O107" s="137"/>
    </row>
    <row r="108" spans="1:33" ht="13.5" hidden="1" thickBot="1">
      <c r="B108" s="150"/>
      <c r="C108" s="151"/>
      <c r="D108" s="174"/>
      <c r="E108" s="151"/>
      <c r="F108" s="151"/>
      <c r="G108" s="152"/>
      <c r="H108" s="135"/>
      <c r="I108" s="152"/>
      <c r="J108" s="135"/>
      <c r="K108" s="152"/>
      <c r="L108" s="136">
        <f t="shared" si="13"/>
        <v>0</v>
      </c>
      <c r="M108" s="135"/>
      <c r="N108" s="135"/>
      <c r="O108" s="137"/>
    </row>
    <row r="109" spans="1:33" ht="13.5" hidden="1" thickBot="1">
      <c r="B109" s="150"/>
      <c r="C109" s="151"/>
      <c r="D109" s="174"/>
      <c r="E109" s="151"/>
      <c r="F109" s="151"/>
      <c r="G109" s="152"/>
      <c r="H109" s="135"/>
      <c r="I109" s="152"/>
      <c r="J109" s="135"/>
      <c r="K109" s="152"/>
      <c r="L109" s="136">
        <f t="shared" si="13"/>
        <v>0</v>
      </c>
      <c r="M109" s="135"/>
      <c r="N109" s="135"/>
      <c r="O109" s="137"/>
    </row>
    <row r="110" spans="1:33" ht="13.5" thickBot="1">
      <c r="B110" s="153"/>
      <c r="C110" s="154"/>
      <c r="D110" s="175"/>
      <c r="E110" s="155"/>
      <c r="F110" s="155"/>
      <c r="G110" s="156"/>
      <c r="H110" s="156"/>
      <c r="I110" s="157"/>
      <c r="J110" s="157"/>
      <c r="K110" s="157"/>
      <c r="L110" s="157"/>
      <c r="M110" s="158"/>
      <c r="N110" s="158"/>
      <c r="O110" s="15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</row>
    <row r="111" spans="1:33" ht="13.5" thickBot="1">
      <c r="B111" s="159"/>
      <c r="C111" s="160"/>
      <c r="D111" s="176"/>
      <c r="E111" s="160"/>
      <c r="F111" s="160"/>
      <c r="G111" s="161"/>
      <c r="H111" s="161"/>
      <c r="I111" s="161"/>
      <c r="J111" s="162"/>
      <c r="K111" s="161"/>
      <c r="L111" s="161"/>
      <c r="M111" s="163" t="s">
        <v>201</v>
      </c>
      <c r="N111" s="163" t="s">
        <v>202</v>
      </c>
      <c r="O111" s="164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</row>
    <row r="112" spans="1:33"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</row>
    <row r="113" spans="5:33"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</row>
    <row r="117" spans="5:33">
      <c r="Q117" s="165"/>
    </row>
  </sheetData>
  <autoFilter ref="A3:O109">
    <filterColumn colId="1">
      <customFilters>
        <customFilter operator="notEqual" val=" "/>
      </customFilters>
    </filterColumn>
  </autoFilter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9"/>
  <sheetViews>
    <sheetView workbookViewId="0">
      <pane ySplit="3" topLeftCell="A4" activePane="bottomLeft" state="frozen"/>
      <selection pane="bottomLeft" activeCell="F21" sqref="F21:F26"/>
    </sheetView>
  </sheetViews>
  <sheetFormatPr defaultRowHeight="12.75"/>
  <cols>
    <col min="2" max="2" width="12.140625" style="204" customWidth="1"/>
    <col min="3" max="3" width="92.5703125" style="380" customWidth="1"/>
    <col min="4" max="5" width="14.5703125" style="248" customWidth="1"/>
    <col min="6" max="6" width="14.5703125" style="185" customWidth="1"/>
    <col min="7" max="7" width="15.28515625" customWidth="1"/>
    <col min="8" max="9" width="12.28515625" style="47" customWidth="1"/>
    <col min="10" max="10" width="15.7109375" style="47" customWidth="1"/>
    <col min="11" max="14" width="12.28515625" style="47" customWidth="1"/>
  </cols>
  <sheetData>
    <row r="3" spans="2:14" ht="25.5">
      <c r="B3" s="203" t="s">
        <v>10</v>
      </c>
      <c r="C3" s="379" t="s">
        <v>201</v>
      </c>
      <c r="D3" s="249" t="s">
        <v>261</v>
      </c>
      <c r="E3" s="249" t="s">
        <v>262</v>
      </c>
      <c r="F3" s="198" t="s">
        <v>263</v>
      </c>
      <c r="G3" s="199" t="s">
        <v>238</v>
      </c>
      <c r="H3" s="200" t="s">
        <v>239</v>
      </c>
      <c r="I3" s="200" t="s">
        <v>240</v>
      </c>
      <c r="J3" s="200" t="s">
        <v>239</v>
      </c>
      <c r="K3" s="200" t="s">
        <v>241</v>
      </c>
      <c r="L3" s="200" t="s">
        <v>239</v>
      </c>
      <c r="M3" s="200" t="s">
        <v>242</v>
      </c>
      <c r="N3" s="200" t="s">
        <v>243</v>
      </c>
    </row>
    <row r="4" spans="2:14" ht="51">
      <c r="B4" s="204" t="s">
        <v>212</v>
      </c>
      <c r="C4" s="380" t="s">
        <v>170</v>
      </c>
      <c r="D4" s="248">
        <f>I4</f>
        <v>792</v>
      </c>
      <c r="E4" s="248">
        <f>D4*0.1</f>
        <v>79.2</v>
      </c>
      <c r="F4" s="201" t="s">
        <v>264</v>
      </c>
      <c r="G4" t="s">
        <v>860</v>
      </c>
      <c r="H4" s="47" t="s">
        <v>244</v>
      </c>
      <c r="I4" s="47">
        <v>792</v>
      </c>
      <c r="J4" s="47" t="s">
        <v>420</v>
      </c>
    </row>
    <row r="5" spans="2:14" ht="51">
      <c r="B5" s="204" t="s">
        <v>213</v>
      </c>
      <c r="C5" s="380" t="s">
        <v>172</v>
      </c>
      <c r="D5" s="248">
        <f t="shared" ref="D5:D6" si="0">I5</f>
        <v>1480</v>
      </c>
      <c r="E5" s="248">
        <f t="shared" ref="E5:E7" si="1">D5*0.1</f>
        <v>148</v>
      </c>
      <c r="F5" s="201" t="s">
        <v>264</v>
      </c>
      <c r="G5" s="373" t="s">
        <v>860</v>
      </c>
      <c r="H5" s="47" t="s">
        <v>245</v>
      </c>
      <c r="I5" s="47">
        <v>1480</v>
      </c>
      <c r="J5" s="47" t="s">
        <v>420</v>
      </c>
    </row>
    <row r="6" spans="2:14" ht="51">
      <c r="B6" s="204" t="s">
        <v>214</v>
      </c>
      <c r="C6" s="380" t="s">
        <v>173</v>
      </c>
      <c r="D6" s="248">
        <f t="shared" si="0"/>
        <v>1749</v>
      </c>
      <c r="E6" s="248">
        <f t="shared" si="1"/>
        <v>174.9</v>
      </c>
      <c r="F6" s="201" t="s">
        <v>264</v>
      </c>
      <c r="G6" s="373" t="s">
        <v>860</v>
      </c>
      <c r="H6" s="47" t="s">
        <v>246</v>
      </c>
      <c r="I6" s="47">
        <v>1749</v>
      </c>
      <c r="J6" s="47" t="s">
        <v>420</v>
      </c>
    </row>
    <row r="7" spans="2:14" ht="51">
      <c r="B7" s="204" t="s">
        <v>215</v>
      </c>
      <c r="C7" s="380" t="s">
        <v>174</v>
      </c>
      <c r="D7" s="248">
        <v>120</v>
      </c>
      <c r="E7" s="248">
        <f t="shared" si="1"/>
        <v>12</v>
      </c>
      <c r="F7" s="201" t="s">
        <v>264</v>
      </c>
      <c r="G7" s="231" t="s">
        <v>410</v>
      </c>
      <c r="H7" s="47" t="s">
        <v>409</v>
      </c>
      <c r="I7" s="47">
        <v>120</v>
      </c>
      <c r="J7" s="47" t="s">
        <v>420</v>
      </c>
    </row>
    <row r="8" spans="2:14" ht="63.75">
      <c r="B8" s="204" t="s">
        <v>216</v>
      </c>
      <c r="C8" s="381" t="s">
        <v>208</v>
      </c>
      <c r="D8" s="248">
        <f t="shared" ref="D8:D11" si="2">I8-E8</f>
        <v>1693</v>
      </c>
      <c r="E8" s="248">
        <f>456+238+50</f>
        <v>744</v>
      </c>
      <c r="F8" s="201" t="s">
        <v>264</v>
      </c>
      <c r="G8" s="201" t="s">
        <v>403</v>
      </c>
      <c r="H8" s="47" t="s">
        <v>405</v>
      </c>
      <c r="I8" s="47">
        <v>2437</v>
      </c>
      <c r="J8" s="204" t="s">
        <v>866</v>
      </c>
    </row>
    <row r="9" spans="2:14" ht="63.75">
      <c r="B9" s="204" t="s">
        <v>217</v>
      </c>
      <c r="C9" s="380" t="s">
        <v>271</v>
      </c>
      <c r="D9" s="248">
        <f t="shared" si="2"/>
        <v>1993</v>
      </c>
      <c r="E9" s="248">
        <f>456+238+50</f>
        <v>744</v>
      </c>
      <c r="F9" s="201" t="s">
        <v>264</v>
      </c>
      <c r="G9" s="201" t="s">
        <v>404</v>
      </c>
      <c r="H9" s="47" t="s">
        <v>405</v>
      </c>
      <c r="I9" s="47">
        <v>2737</v>
      </c>
      <c r="J9" s="204" t="s">
        <v>866</v>
      </c>
    </row>
    <row r="10" spans="2:14" ht="63.75">
      <c r="B10" s="204" t="s">
        <v>218</v>
      </c>
      <c r="C10" s="380" t="s">
        <v>209</v>
      </c>
      <c r="D10" s="248">
        <f t="shared" si="2"/>
        <v>2221</v>
      </c>
      <c r="E10" s="248">
        <f t="shared" ref="E10:E12" si="3">456+238+50</f>
        <v>744</v>
      </c>
      <c r="F10" s="201" t="s">
        <v>264</v>
      </c>
      <c r="G10" s="201" t="s">
        <v>406</v>
      </c>
      <c r="H10" s="47" t="s">
        <v>405</v>
      </c>
      <c r="I10" s="47">
        <v>2965</v>
      </c>
      <c r="J10" s="204" t="s">
        <v>866</v>
      </c>
    </row>
    <row r="11" spans="2:14" ht="63.75">
      <c r="B11" s="204" t="s">
        <v>219</v>
      </c>
      <c r="C11" s="380" t="s">
        <v>210</v>
      </c>
      <c r="D11" s="248">
        <f t="shared" si="2"/>
        <v>2356</v>
      </c>
      <c r="E11" s="248">
        <f t="shared" si="3"/>
        <v>744</v>
      </c>
      <c r="F11" s="201" t="s">
        <v>264</v>
      </c>
      <c r="G11" s="201" t="s">
        <v>407</v>
      </c>
      <c r="H11" s="47" t="s">
        <v>405</v>
      </c>
      <c r="I11" s="47">
        <v>3100</v>
      </c>
      <c r="J11" s="204" t="s">
        <v>866</v>
      </c>
    </row>
    <row r="12" spans="2:14" ht="63.75">
      <c r="B12" s="204" t="s">
        <v>220</v>
      </c>
      <c r="C12" s="380" t="s">
        <v>211</v>
      </c>
      <c r="D12" s="248">
        <f>I12-E12</f>
        <v>2656</v>
      </c>
      <c r="E12" s="248">
        <f t="shared" si="3"/>
        <v>744</v>
      </c>
      <c r="F12" s="201" t="s">
        <v>264</v>
      </c>
      <c r="G12" s="201" t="s">
        <v>408</v>
      </c>
      <c r="H12" s="47" t="s">
        <v>405</v>
      </c>
      <c r="I12" s="47">
        <v>3400</v>
      </c>
      <c r="J12" s="204" t="s">
        <v>866</v>
      </c>
    </row>
    <row r="13" spans="2:14" ht="25.5">
      <c r="B13" s="204" t="s">
        <v>221</v>
      </c>
      <c r="C13" s="380" t="s">
        <v>183</v>
      </c>
      <c r="D13" s="248">
        <v>240</v>
      </c>
      <c r="E13" s="248">
        <v>100</v>
      </c>
      <c r="F13" s="201" t="s">
        <v>264</v>
      </c>
    </row>
    <row r="14" spans="2:14" ht="25.5">
      <c r="B14" s="204" t="s">
        <v>222</v>
      </c>
      <c r="C14" s="380" t="s">
        <v>184</v>
      </c>
      <c r="D14" s="248">
        <v>3.6</v>
      </c>
      <c r="E14" s="248">
        <v>1</v>
      </c>
      <c r="F14" s="201" t="s">
        <v>264</v>
      </c>
    </row>
    <row r="15" spans="2:14" ht="25.5">
      <c r="B15" s="204" t="s">
        <v>223</v>
      </c>
      <c r="C15" s="380" t="s">
        <v>186</v>
      </c>
      <c r="D15" s="248">
        <v>280</v>
      </c>
      <c r="E15" s="248">
        <v>50</v>
      </c>
      <c r="F15" s="201" t="s">
        <v>264</v>
      </c>
    </row>
    <row r="16" spans="2:14" ht="25.5">
      <c r="B16" s="204" t="s">
        <v>224</v>
      </c>
      <c r="C16" s="380" t="s">
        <v>272</v>
      </c>
      <c r="D16" s="248">
        <v>460</v>
      </c>
      <c r="E16" s="248">
        <v>50</v>
      </c>
      <c r="F16" s="201" t="s">
        <v>264</v>
      </c>
    </row>
    <row r="17" spans="2:8" ht="51">
      <c r="B17" s="204" t="s">
        <v>225</v>
      </c>
      <c r="C17" s="380" t="s">
        <v>189</v>
      </c>
      <c r="D17" s="248">
        <f>G17</f>
        <v>2697.84</v>
      </c>
      <c r="E17" s="248">
        <f>D17*0.1</f>
        <v>269.78400000000005</v>
      </c>
      <c r="F17" s="201" t="s">
        <v>264</v>
      </c>
      <c r="G17">
        <f>2498*1.08</f>
        <v>2697.84</v>
      </c>
      <c r="H17" s="47" t="s">
        <v>402</v>
      </c>
    </row>
    <row r="18" spans="2:8" ht="25.5">
      <c r="B18" s="204" t="s">
        <v>226</v>
      </c>
      <c r="C18" s="380" t="s">
        <v>190</v>
      </c>
      <c r="D18" s="248">
        <f>G18</f>
        <v>2958.1200000000003</v>
      </c>
      <c r="E18" s="248">
        <f t="shared" ref="E18:E19" si="4">D18*0.1</f>
        <v>295.81200000000007</v>
      </c>
      <c r="F18" s="201" t="s">
        <v>264</v>
      </c>
      <c r="G18" s="230">
        <f>2739*1.08</f>
        <v>2958.1200000000003</v>
      </c>
      <c r="H18" s="47" t="s">
        <v>402</v>
      </c>
    </row>
    <row r="19" spans="2:8" ht="38.25">
      <c r="B19" s="204" t="s">
        <v>229</v>
      </c>
      <c r="C19" s="380" t="s">
        <v>193</v>
      </c>
      <c r="D19" s="248">
        <f>G19</f>
        <v>1908.3600000000001</v>
      </c>
      <c r="E19" s="248">
        <f t="shared" si="4"/>
        <v>190.83600000000001</v>
      </c>
      <c r="F19" s="201" t="s">
        <v>264</v>
      </c>
      <c r="G19">
        <f>1767*1.08</f>
        <v>1908.3600000000001</v>
      </c>
      <c r="H19" s="47" t="s">
        <v>402</v>
      </c>
    </row>
    <row r="21" spans="2:8">
      <c r="B21" s="204">
        <v>97638</v>
      </c>
      <c r="C21" s="380" t="s">
        <v>266</v>
      </c>
      <c r="D21" s="248">
        <v>1.6700000000000002</v>
      </c>
      <c r="E21" s="248">
        <v>4.51</v>
      </c>
      <c r="F21" s="201" t="s">
        <v>865</v>
      </c>
    </row>
    <row r="22" spans="2:8" ht="25.5">
      <c r="B22" s="204">
        <v>97637</v>
      </c>
      <c r="C22" s="380" t="s">
        <v>247</v>
      </c>
      <c r="D22" s="248">
        <v>11.45</v>
      </c>
      <c r="E22" s="248">
        <v>1.56</v>
      </c>
      <c r="F22" s="201" t="s">
        <v>865</v>
      </c>
      <c r="G22" s="373"/>
    </row>
    <row r="23" spans="2:8">
      <c r="B23" s="204">
        <v>97644</v>
      </c>
      <c r="C23" s="380" t="s">
        <v>248</v>
      </c>
      <c r="D23" s="248">
        <v>1.98</v>
      </c>
      <c r="E23" s="248">
        <v>5.01</v>
      </c>
      <c r="F23" s="201" t="s">
        <v>865</v>
      </c>
      <c r="G23" s="373"/>
    </row>
    <row r="24" spans="2:8" ht="25.5">
      <c r="B24" s="204">
        <v>97640</v>
      </c>
      <c r="C24" s="380" t="s">
        <v>249</v>
      </c>
      <c r="D24" s="248">
        <v>0.33</v>
      </c>
      <c r="E24" s="248">
        <v>1</v>
      </c>
      <c r="F24" s="201" t="s">
        <v>865</v>
      </c>
      <c r="G24" s="373"/>
    </row>
    <row r="25" spans="2:8" ht="25.5">
      <c r="B25" s="204">
        <v>96358</v>
      </c>
      <c r="C25" s="380" t="s">
        <v>267</v>
      </c>
      <c r="D25" s="248">
        <v>83.75</v>
      </c>
      <c r="E25" s="248">
        <v>9.59</v>
      </c>
      <c r="F25" s="201" t="s">
        <v>865</v>
      </c>
      <c r="G25" s="373"/>
    </row>
    <row r="26" spans="2:8" ht="25.5">
      <c r="B26" s="204">
        <v>96359</v>
      </c>
      <c r="C26" s="380" t="s">
        <v>268</v>
      </c>
      <c r="D26" s="248">
        <v>98.78</v>
      </c>
      <c r="E26" s="248">
        <v>11.05</v>
      </c>
      <c r="F26" s="201" t="s">
        <v>865</v>
      </c>
      <c r="G26" s="373"/>
    </row>
    <row r="27" spans="2:8">
      <c r="B27" s="204">
        <v>96113</v>
      </c>
      <c r="C27" s="380" t="s">
        <v>250</v>
      </c>
      <c r="D27" s="248">
        <v>18.939999999999998</v>
      </c>
      <c r="E27" s="248">
        <v>12.62</v>
      </c>
      <c r="F27" s="201" t="s">
        <v>865</v>
      </c>
      <c r="G27" s="373"/>
    </row>
    <row r="28" spans="2:8">
      <c r="B28" s="204">
        <v>96374</v>
      </c>
      <c r="C28" s="380" t="s">
        <v>251</v>
      </c>
      <c r="D28" s="248">
        <v>16.8</v>
      </c>
      <c r="E28" s="248">
        <v>1.47</v>
      </c>
      <c r="F28" s="201" t="s">
        <v>865</v>
      </c>
      <c r="G28" s="373"/>
    </row>
    <row r="29" spans="2:8" ht="25.5">
      <c r="B29" s="204" t="s">
        <v>127</v>
      </c>
      <c r="C29" s="380" t="s">
        <v>252</v>
      </c>
      <c r="D29" s="202">
        <v>107.78</v>
      </c>
      <c r="E29" s="250">
        <v>16.77</v>
      </c>
      <c r="F29" s="201" t="s">
        <v>265</v>
      </c>
      <c r="G29" s="373"/>
    </row>
    <row r="30" spans="2:8">
      <c r="B30" s="204">
        <v>88496</v>
      </c>
      <c r="C30" s="380" t="s">
        <v>253</v>
      </c>
      <c r="D30" s="248">
        <v>10.01</v>
      </c>
      <c r="E30" s="248">
        <v>12.85</v>
      </c>
      <c r="F30" s="201" t="s">
        <v>865</v>
      </c>
      <c r="G30" s="373"/>
    </row>
    <row r="31" spans="2:8">
      <c r="B31" s="204">
        <v>88497</v>
      </c>
      <c r="C31" s="380" t="s">
        <v>254</v>
      </c>
      <c r="D31" s="248">
        <v>7.0600000000000005</v>
      </c>
      <c r="E31" s="248">
        <v>5.95</v>
      </c>
      <c r="F31" s="201" t="s">
        <v>865</v>
      </c>
      <c r="G31" s="373"/>
    </row>
    <row r="32" spans="2:8">
      <c r="B32" s="204">
        <v>88484</v>
      </c>
      <c r="C32" s="380" t="s">
        <v>255</v>
      </c>
      <c r="D32" s="248">
        <v>1.47</v>
      </c>
      <c r="E32" s="248">
        <v>0.98</v>
      </c>
      <c r="F32" s="201" t="s">
        <v>865</v>
      </c>
      <c r="G32" s="373"/>
    </row>
    <row r="33" spans="2:14">
      <c r="B33" s="204">
        <v>88485</v>
      </c>
      <c r="C33" s="380" t="s">
        <v>256</v>
      </c>
      <c r="D33" s="248">
        <v>1.37</v>
      </c>
      <c r="E33" s="248">
        <v>0.74</v>
      </c>
      <c r="F33" s="201" t="s">
        <v>865</v>
      </c>
      <c r="G33" s="373"/>
    </row>
    <row r="34" spans="2:14">
      <c r="B34" s="204">
        <v>88488</v>
      </c>
      <c r="C34" s="380" t="s">
        <v>257</v>
      </c>
      <c r="D34" s="248">
        <v>10.57</v>
      </c>
      <c r="E34" s="248">
        <v>4.6399999999999997</v>
      </c>
      <c r="F34" s="201" t="s">
        <v>865</v>
      </c>
      <c r="G34" s="373"/>
    </row>
    <row r="35" spans="2:14">
      <c r="B35" s="204">
        <v>88489</v>
      </c>
      <c r="C35" s="380" t="s">
        <v>258</v>
      </c>
      <c r="D35" s="248">
        <v>10.09</v>
      </c>
      <c r="E35" s="248">
        <v>3.57</v>
      </c>
      <c r="F35" s="201" t="s">
        <v>865</v>
      </c>
      <c r="G35" s="373"/>
    </row>
    <row r="36" spans="2:14">
      <c r="B36" s="204">
        <v>99803</v>
      </c>
      <c r="C36" s="380" t="s">
        <v>259</v>
      </c>
      <c r="D36" s="248">
        <v>0.49</v>
      </c>
      <c r="E36" s="248">
        <v>1.1499999999999999</v>
      </c>
      <c r="F36" s="201" t="s">
        <v>865</v>
      </c>
      <c r="G36" s="373"/>
    </row>
    <row r="37" spans="2:14" ht="25.5">
      <c r="B37" s="204">
        <v>88037</v>
      </c>
      <c r="C37" s="380" t="s">
        <v>260</v>
      </c>
      <c r="D37" s="202">
        <v>13.79</v>
      </c>
      <c r="E37" s="250">
        <v>27.32</v>
      </c>
      <c r="F37" s="201" t="s">
        <v>265</v>
      </c>
      <c r="G37" s="113"/>
    </row>
    <row r="38" spans="2:14" ht="38.25">
      <c r="B38" s="204" t="s">
        <v>181</v>
      </c>
      <c r="C38" s="380" t="s">
        <v>270</v>
      </c>
      <c r="D38" s="202">
        <v>97.67</v>
      </c>
      <c r="E38" s="202">
        <v>123.78</v>
      </c>
      <c r="F38" s="201" t="s">
        <v>411</v>
      </c>
      <c r="G38" s="113"/>
    </row>
    <row r="39" spans="2:14" s="251" customFormat="1" ht="51">
      <c r="B39" s="204" t="s">
        <v>743</v>
      </c>
      <c r="C39" s="380" t="s">
        <v>684</v>
      </c>
      <c r="D39" s="202">
        <v>27.99</v>
      </c>
      <c r="E39" s="202"/>
      <c r="F39" s="201" t="s">
        <v>748</v>
      </c>
      <c r="G39" s="371">
        <f t="shared" ref="G39:G51" si="5">D39</f>
        <v>27.99</v>
      </c>
      <c r="H39" s="47" t="s">
        <v>744</v>
      </c>
      <c r="I39" s="47"/>
      <c r="J39" s="47"/>
      <c r="K39" s="47"/>
      <c r="L39" s="47"/>
      <c r="M39" s="47"/>
      <c r="N39" s="47"/>
    </row>
    <row r="40" spans="2:14" s="251" customFormat="1" ht="51">
      <c r="B40" s="204" t="s">
        <v>745</v>
      </c>
      <c r="C40" s="380" t="s">
        <v>768</v>
      </c>
      <c r="D40" s="202">
        <f>179.95/3</f>
        <v>59.983333333333327</v>
      </c>
      <c r="E40" s="202"/>
      <c r="F40" s="201" t="s">
        <v>749</v>
      </c>
      <c r="G40" s="371">
        <f t="shared" si="5"/>
        <v>59.983333333333327</v>
      </c>
      <c r="H40" s="47" t="s">
        <v>746</v>
      </c>
      <c r="I40" s="47"/>
      <c r="J40" s="47"/>
      <c r="K40" s="47"/>
      <c r="L40" s="47"/>
      <c r="M40" s="47"/>
      <c r="N40" s="47"/>
    </row>
    <row r="41" spans="2:14" s="251" customFormat="1" ht="51">
      <c r="B41" s="204" t="s">
        <v>747</v>
      </c>
      <c r="C41" s="380" t="s">
        <v>769</v>
      </c>
      <c r="D41" s="202">
        <f>93/3</f>
        <v>31</v>
      </c>
      <c r="E41" s="202"/>
      <c r="F41" s="201" t="s">
        <v>749</v>
      </c>
      <c r="G41" s="371">
        <f t="shared" si="5"/>
        <v>31</v>
      </c>
      <c r="H41" s="47" t="s">
        <v>746</v>
      </c>
      <c r="I41" s="47"/>
      <c r="J41" s="47"/>
      <c r="K41" s="47"/>
      <c r="L41" s="47"/>
      <c r="M41" s="47"/>
      <c r="N41" s="47"/>
    </row>
    <row r="42" spans="2:14" s="251" customFormat="1" ht="51">
      <c r="B42" s="204" t="s">
        <v>750</v>
      </c>
      <c r="C42" s="380" t="s">
        <v>617</v>
      </c>
      <c r="D42" s="202">
        <v>7.49</v>
      </c>
      <c r="E42" s="202"/>
      <c r="F42" s="201" t="s">
        <v>749</v>
      </c>
      <c r="G42" s="371">
        <f t="shared" si="5"/>
        <v>7.49</v>
      </c>
      <c r="H42" s="47" t="s">
        <v>746</v>
      </c>
      <c r="I42" s="47"/>
      <c r="J42" s="47"/>
      <c r="K42" s="47"/>
      <c r="L42" s="47"/>
      <c r="M42" s="47"/>
      <c r="N42" s="47"/>
    </row>
    <row r="43" spans="2:14" s="251" customFormat="1" ht="38.25">
      <c r="B43" s="204" t="s">
        <v>751</v>
      </c>
      <c r="C43" s="380" t="s">
        <v>757</v>
      </c>
      <c r="D43" s="202">
        <f>78.31/1.2433</f>
        <v>62.985602831175093</v>
      </c>
      <c r="E43" s="202"/>
      <c r="F43" s="201" t="s">
        <v>759</v>
      </c>
      <c r="G43" s="371">
        <f t="shared" si="5"/>
        <v>62.985602831175093</v>
      </c>
      <c r="H43" s="47" t="s">
        <v>760</v>
      </c>
      <c r="I43" s="47"/>
      <c r="J43" s="47"/>
      <c r="K43" s="47"/>
      <c r="L43" s="47"/>
      <c r="M43" s="47"/>
      <c r="N43" s="47"/>
    </row>
    <row r="44" spans="2:14" s="251" customFormat="1" ht="51">
      <c r="B44" s="204" t="s">
        <v>752</v>
      </c>
      <c r="C44" s="380" t="s">
        <v>756</v>
      </c>
      <c r="D44" s="202">
        <v>22.95</v>
      </c>
      <c r="E44" s="202"/>
      <c r="F44" s="201" t="s">
        <v>748</v>
      </c>
      <c r="G44" s="371">
        <f t="shared" si="5"/>
        <v>22.95</v>
      </c>
      <c r="H44" s="47" t="s">
        <v>744</v>
      </c>
      <c r="I44" s="47"/>
      <c r="J44" s="47"/>
      <c r="K44" s="47"/>
      <c r="L44" s="47"/>
      <c r="M44" s="47"/>
      <c r="N44" s="47"/>
    </row>
    <row r="45" spans="2:14" ht="51">
      <c r="B45" s="204" t="s">
        <v>753</v>
      </c>
      <c r="C45" s="380" t="s">
        <v>755</v>
      </c>
      <c r="D45" s="202">
        <v>22.95</v>
      </c>
      <c r="E45" s="202"/>
      <c r="F45" s="201" t="s">
        <v>748</v>
      </c>
      <c r="G45" s="371">
        <f t="shared" si="5"/>
        <v>22.95</v>
      </c>
      <c r="H45" s="47" t="s">
        <v>744</v>
      </c>
    </row>
    <row r="46" spans="2:14" ht="51">
      <c r="B46" s="204" t="s">
        <v>754</v>
      </c>
      <c r="C46" s="380" t="s">
        <v>758</v>
      </c>
      <c r="D46" s="202">
        <v>51.64</v>
      </c>
      <c r="E46" s="202"/>
      <c r="F46" s="201" t="s">
        <v>748</v>
      </c>
      <c r="G46" s="371">
        <f t="shared" si="5"/>
        <v>51.64</v>
      </c>
      <c r="H46" s="47" t="s">
        <v>744</v>
      </c>
    </row>
    <row r="47" spans="2:14" s="251" customFormat="1" ht="38.25">
      <c r="B47" s="204" t="s">
        <v>761</v>
      </c>
      <c r="C47" s="380" t="s">
        <v>573</v>
      </c>
      <c r="D47" s="202">
        <f>8.704/1.2433</f>
        <v>7.0007238799967828</v>
      </c>
      <c r="E47" s="202"/>
      <c r="F47" s="201" t="s">
        <v>759</v>
      </c>
      <c r="G47" s="371">
        <f t="shared" si="5"/>
        <v>7.0007238799967828</v>
      </c>
      <c r="H47" s="47" t="s">
        <v>760</v>
      </c>
      <c r="I47" s="47"/>
      <c r="J47" s="47"/>
      <c r="K47" s="47"/>
      <c r="L47" s="47"/>
      <c r="M47" s="47"/>
      <c r="N47" s="47"/>
    </row>
    <row r="48" spans="2:14" s="251" customFormat="1" ht="38.25">
      <c r="B48" s="204" t="s">
        <v>762</v>
      </c>
      <c r="C48" s="380" t="s">
        <v>629</v>
      </c>
      <c r="D48" s="202">
        <f>49</f>
        <v>49</v>
      </c>
      <c r="E48" s="202"/>
      <c r="F48" s="201" t="s">
        <v>759</v>
      </c>
      <c r="G48" s="371">
        <f t="shared" si="5"/>
        <v>49</v>
      </c>
      <c r="H48" s="47" t="s">
        <v>760</v>
      </c>
      <c r="I48" s="47"/>
      <c r="J48" s="47"/>
      <c r="K48" s="47"/>
      <c r="L48" s="47"/>
      <c r="M48" s="47"/>
      <c r="N48" s="47"/>
    </row>
    <row r="49" spans="2:14" s="251" customFormat="1" ht="38.25">
      <c r="B49" s="204" t="s">
        <v>763</v>
      </c>
      <c r="C49" s="380" t="s">
        <v>595</v>
      </c>
      <c r="D49" s="202">
        <f>87</f>
        <v>87</v>
      </c>
      <c r="E49" s="202"/>
      <c r="F49" s="201" t="s">
        <v>759</v>
      </c>
      <c r="G49" s="371">
        <f t="shared" si="5"/>
        <v>87</v>
      </c>
      <c r="H49" s="47" t="s">
        <v>760</v>
      </c>
      <c r="I49" s="47"/>
      <c r="J49" s="47"/>
      <c r="K49" s="47"/>
      <c r="L49" s="47"/>
      <c r="M49" s="47"/>
      <c r="N49" s="47"/>
    </row>
    <row r="50" spans="2:14" s="251" customFormat="1" ht="38.25">
      <c r="B50" s="204" t="s">
        <v>764</v>
      </c>
      <c r="C50" s="380" t="s">
        <v>766</v>
      </c>
      <c r="D50" s="202">
        <f>7.12/1.2433</f>
        <v>5.7266950856591325</v>
      </c>
      <c r="E50" s="202"/>
      <c r="F50" s="201" t="s">
        <v>759</v>
      </c>
      <c r="G50" s="371">
        <f t="shared" si="5"/>
        <v>5.7266950856591325</v>
      </c>
      <c r="H50" s="47" t="s">
        <v>760</v>
      </c>
      <c r="I50" s="47"/>
      <c r="J50" s="47"/>
      <c r="K50" s="47"/>
      <c r="L50" s="47"/>
      <c r="M50" s="47"/>
      <c r="N50" s="47"/>
    </row>
    <row r="51" spans="2:14" s="251" customFormat="1" ht="38.25">
      <c r="B51" s="204" t="s">
        <v>765</v>
      </c>
      <c r="C51" s="380" t="s">
        <v>767</v>
      </c>
      <c r="D51" s="202">
        <v>16.34</v>
      </c>
      <c r="E51" s="202"/>
      <c r="F51" s="201" t="s">
        <v>759</v>
      </c>
      <c r="G51" s="371">
        <f t="shared" si="5"/>
        <v>16.34</v>
      </c>
      <c r="H51" s="47" t="s">
        <v>760</v>
      </c>
      <c r="I51" s="47"/>
      <c r="J51" s="47"/>
      <c r="K51" s="47"/>
      <c r="L51" s="47"/>
      <c r="M51" s="47"/>
      <c r="N51" s="47"/>
    </row>
    <row r="52" spans="2:14">
      <c r="D52" s="202"/>
      <c r="E52" s="202"/>
      <c r="F52" s="201"/>
      <c r="G52" s="113"/>
    </row>
    <row r="53" spans="2:14">
      <c r="D53" s="202"/>
      <c r="E53" s="202"/>
      <c r="F53" s="201"/>
      <c r="G53" s="113"/>
    </row>
    <row r="54" spans="2:14">
      <c r="D54" s="202"/>
      <c r="E54" s="202"/>
      <c r="F54" s="201"/>
      <c r="G54" s="113"/>
    </row>
    <row r="55" spans="2:14">
      <c r="D55" s="202"/>
      <c r="E55" s="202"/>
      <c r="F55" s="201"/>
      <c r="G55" s="113"/>
    </row>
    <row r="56" spans="2:14">
      <c r="D56" s="202"/>
      <c r="E56" s="202"/>
      <c r="F56" s="201"/>
      <c r="G56" s="113"/>
    </row>
    <row r="57" spans="2:14">
      <c r="D57" s="202"/>
      <c r="E57" s="202"/>
      <c r="F57" s="201"/>
      <c r="G57" s="113"/>
    </row>
    <row r="58" spans="2:14">
      <c r="D58" s="202"/>
      <c r="E58" s="202"/>
      <c r="F58" s="201"/>
      <c r="G58" s="113"/>
    </row>
    <row r="59" spans="2:14">
      <c r="D59" s="202"/>
      <c r="E59" s="202"/>
      <c r="F59" s="201"/>
      <c r="G59" s="113"/>
    </row>
    <row r="60" spans="2:14">
      <c r="D60" s="202"/>
      <c r="E60" s="202"/>
      <c r="F60" s="201"/>
      <c r="G60" s="113"/>
    </row>
    <row r="61" spans="2:14">
      <c r="D61" s="202"/>
      <c r="E61" s="202"/>
      <c r="F61" s="201"/>
      <c r="G61" s="113"/>
    </row>
    <row r="62" spans="2:14">
      <c r="D62" s="202"/>
      <c r="E62" s="202"/>
      <c r="F62" s="201"/>
      <c r="G62" s="113"/>
    </row>
    <row r="63" spans="2:14">
      <c r="D63" s="202"/>
      <c r="E63" s="202"/>
      <c r="F63" s="201"/>
      <c r="G63" s="113"/>
    </row>
    <row r="64" spans="2:14">
      <c r="D64" s="202"/>
      <c r="E64" s="202"/>
      <c r="F64" s="201"/>
      <c r="G64" s="113"/>
    </row>
    <row r="65" spans="4:7">
      <c r="D65" s="202"/>
      <c r="E65" s="202"/>
      <c r="F65" s="201"/>
      <c r="G65" s="113"/>
    </row>
    <row r="66" spans="4:7">
      <c r="D66" s="202"/>
      <c r="E66" s="202"/>
      <c r="F66" s="201"/>
      <c r="G66" s="113"/>
    </row>
    <row r="67" spans="4:7">
      <c r="D67" s="202"/>
      <c r="E67" s="202"/>
      <c r="F67" s="201"/>
      <c r="G67" s="113"/>
    </row>
    <row r="68" spans="4:7">
      <c r="D68" s="202"/>
      <c r="E68" s="202"/>
      <c r="F68" s="201"/>
      <c r="G68" s="113"/>
    </row>
    <row r="69" spans="4:7">
      <c r="D69" s="202"/>
      <c r="E69" s="202"/>
      <c r="F69" s="201"/>
      <c r="G69" s="113"/>
    </row>
    <row r="70" spans="4:7">
      <c r="D70" s="202"/>
      <c r="E70" s="202"/>
      <c r="F70" s="201"/>
      <c r="G70" s="113"/>
    </row>
    <row r="71" spans="4:7">
      <c r="D71" s="202"/>
      <c r="E71" s="202"/>
      <c r="F71" s="201"/>
      <c r="G71" s="113"/>
    </row>
    <row r="72" spans="4:7">
      <c r="D72" s="202"/>
      <c r="E72" s="202"/>
      <c r="F72" s="201"/>
      <c r="G72" s="113"/>
    </row>
    <row r="73" spans="4:7">
      <c r="D73" s="202"/>
      <c r="E73" s="202"/>
      <c r="F73" s="201"/>
      <c r="G73" s="113"/>
    </row>
    <row r="74" spans="4:7">
      <c r="D74" s="202"/>
      <c r="E74" s="202"/>
      <c r="F74" s="201"/>
      <c r="G74" s="113"/>
    </row>
    <row r="75" spans="4:7">
      <c r="D75" s="202"/>
      <c r="E75" s="202"/>
      <c r="F75" s="201"/>
      <c r="G75" s="113"/>
    </row>
    <row r="76" spans="4:7">
      <c r="D76" s="202"/>
      <c r="E76" s="202"/>
      <c r="F76" s="201"/>
      <c r="G76" s="113"/>
    </row>
    <row r="77" spans="4:7">
      <c r="D77" s="202"/>
      <c r="E77" s="202"/>
      <c r="F77" s="201"/>
      <c r="G77" s="113"/>
    </row>
    <row r="78" spans="4:7">
      <c r="D78" s="202"/>
      <c r="E78" s="202"/>
      <c r="F78" s="201"/>
      <c r="G78" s="113"/>
    </row>
    <row r="79" spans="4:7">
      <c r="F79" s="201"/>
    </row>
  </sheetData>
  <autoFilter ref="B3:L82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workbookViewId="0">
      <pane ySplit="9" topLeftCell="A91" activePane="bottomLeft" state="frozen"/>
      <selection pane="bottomLeft" activeCell="G100" sqref="G100"/>
    </sheetView>
  </sheetViews>
  <sheetFormatPr defaultRowHeight="15"/>
  <cols>
    <col min="1" max="1" width="14.28515625" style="261" customWidth="1"/>
    <col min="2" max="2" width="19.140625" style="261" customWidth="1"/>
    <col min="3" max="3" width="8" style="261" bestFit="1" customWidth="1"/>
    <col min="4" max="4" width="34.85546875" style="261" customWidth="1"/>
    <col min="5" max="5" width="8.85546875" style="261" bestFit="1" customWidth="1"/>
    <col min="6" max="6" width="11.140625" style="261" customWidth="1"/>
    <col min="7" max="8" width="8.7109375" style="261" bestFit="1" customWidth="1"/>
    <col min="9" max="9" width="11.28515625" style="261" customWidth="1"/>
    <col min="10" max="10" width="9.85546875" style="261" bestFit="1" customWidth="1"/>
    <col min="11" max="16384" width="9.140625" style="261"/>
  </cols>
  <sheetData>
    <row r="1" spans="1:10" ht="15.75" thickBot="1">
      <c r="A1" s="253" t="s">
        <v>422</v>
      </c>
      <c r="B1" s="254" t="s">
        <v>423</v>
      </c>
      <c r="C1" s="255"/>
      <c r="D1" s="256"/>
      <c r="E1" s="257"/>
      <c r="F1" s="257"/>
      <c r="G1" s="257"/>
      <c r="H1" s="258"/>
      <c r="I1" s="259" t="s">
        <v>424</v>
      </c>
      <c r="J1" s="260">
        <f>'BDI e Encargos'!C14</f>
        <v>0.81850000000000001</v>
      </c>
    </row>
    <row r="2" spans="1:10" ht="16.5" thickTop="1" thickBot="1">
      <c r="A2" s="262" t="s">
        <v>425</v>
      </c>
      <c r="B2" s="263" t="s">
        <v>273</v>
      </c>
      <c r="C2" s="264"/>
      <c r="D2" s="265"/>
      <c r="E2" s="266"/>
      <c r="F2" s="266"/>
      <c r="G2" s="266"/>
      <c r="H2" s="267"/>
      <c r="I2" s="268" t="s">
        <v>426</v>
      </c>
      <c r="J2" s="269">
        <f>'BDI e Encargos'!C15</f>
        <v>0.45739999999999997</v>
      </c>
    </row>
    <row r="3" spans="1:10" ht="16.5" thickTop="1" thickBot="1">
      <c r="A3" s="262" t="s">
        <v>427</v>
      </c>
      <c r="B3" s="263" t="s">
        <v>428</v>
      </c>
      <c r="C3" s="264"/>
      <c r="D3" s="270"/>
      <c r="E3" s="271"/>
      <c r="F3" s="271"/>
      <c r="G3" s="271"/>
      <c r="H3" s="272"/>
      <c r="I3" s="268" t="s">
        <v>1</v>
      </c>
      <c r="J3" s="273">
        <f>'BDI e Encargos'!C17</f>
        <v>0.24968584787892145</v>
      </c>
    </row>
    <row r="4" spans="1:10" ht="16.5" thickTop="1" thickBot="1">
      <c r="A4" s="274"/>
      <c r="B4" s="275"/>
      <c r="C4" s="276"/>
      <c r="D4" s="270"/>
      <c r="E4" s="271"/>
      <c r="F4" s="271"/>
      <c r="G4" s="271"/>
      <c r="H4" s="272"/>
      <c r="I4" s="268" t="s">
        <v>429</v>
      </c>
      <c r="J4" s="273">
        <f>'BDI e Encargos'!C19</f>
        <v>0.1497</v>
      </c>
    </row>
    <row r="5" spans="1:10" ht="16.5" thickTop="1" thickBot="1">
      <c r="A5" s="277"/>
      <c r="B5" s="271"/>
      <c r="C5" s="278"/>
      <c r="D5" s="270"/>
      <c r="E5" s="271"/>
      <c r="F5" s="271"/>
      <c r="G5" s="271"/>
      <c r="H5" s="272"/>
      <c r="I5" s="268" t="s">
        <v>430</v>
      </c>
      <c r="J5" s="79">
        <f>Orçamento!N3</f>
        <v>44409</v>
      </c>
    </row>
    <row r="6" spans="1:10" ht="16.5" thickTop="1" thickBot="1">
      <c r="A6" s="274"/>
      <c r="B6" s="275"/>
      <c r="C6" s="276"/>
      <c r="D6" s="270"/>
      <c r="E6" s="271"/>
      <c r="F6" s="271"/>
      <c r="G6" s="271"/>
      <c r="H6" s="272"/>
      <c r="I6" s="268"/>
      <c r="J6" s="279"/>
    </row>
    <row r="7" spans="1:10" ht="16.5" thickTop="1" thickBot="1">
      <c r="A7" s="274" t="s">
        <v>431</v>
      </c>
      <c r="B7" s="280" t="s">
        <v>571</v>
      </c>
      <c r="C7" s="280"/>
      <c r="D7" s="270"/>
      <c r="E7" s="271"/>
      <c r="F7" s="271"/>
      <c r="G7" s="271"/>
      <c r="H7" s="271"/>
      <c r="I7" s="268"/>
      <c r="J7" s="281"/>
    </row>
    <row r="8" spans="1:10">
      <c r="A8" s="282"/>
      <c r="B8" s="283"/>
      <c r="C8" s="283"/>
      <c r="D8" s="284"/>
      <c r="E8" s="285"/>
      <c r="F8" s="285"/>
      <c r="G8" s="285"/>
      <c r="H8" s="285"/>
      <c r="I8" s="286"/>
      <c r="J8" s="287"/>
    </row>
    <row r="9" spans="1:10" ht="63.75">
      <c r="A9" s="288" t="s">
        <v>432</v>
      </c>
      <c r="B9" s="288" t="s">
        <v>11</v>
      </c>
      <c r="C9" s="288" t="s">
        <v>12</v>
      </c>
      <c r="D9" s="288" t="s">
        <v>13</v>
      </c>
      <c r="E9" s="288" t="s">
        <v>14</v>
      </c>
      <c r="F9" s="288" t="s">
        <v>15</v>
      </c>
      <c r="G9" s="288" t="s">
        <v>433</v>
      </c>
      <c r="H9" s="288" t="s">
        <v>434</v>
      </c>
      <c r="I9" s="288" t="s">
        <v>435</v>
      </c>
      <c r="J9" s="288" t="s">
        <v>436</v>
      </c>
    </row>
    <row r="10" spans="1:10">
      <c r="A10" s="289"/>
      <c r="B10" s="290"/>
      <c r="C10" s="290"/>
      <c r="D10" s="291"/>
      <c r="E10" s="290"/>
      <c r="F10" s="290"/>
      <c r="G10" s="290"/>
      <c r="H10" s="290"/>
      <c r="I10" s="290"/>
      <c r="J10" s="292"/>
    </row>
    <row r="11" spans="1:10">
      <c r="A11" s="293"/>
      <c r="B11" s="294"/>
      <c r="C11" s="294"/>
      <c r="D11" s="295" t="s">
        <v>437</v>
      </c>
      <c r="E11" s="294"/>
      <c r="F11" s="294"/>
      <c r="G11" s="294"/>
      <c r="H11" s="294"/>
      <c r="I11" s="294"/>
      <c r="J11" s="296"/>
    </row>
    <row r="12" spans="1:10">
      <c r="A12" s="297" t="s">
        <v>438</v>
      </c>
      <c r="B12" s="298"/>
      <c r="C12" s="298"/>
      <c r="D12" s="299"/>
      <c r="E12" s="298"/>
      <c r="F12" s="298"/>
      <c r="G12" s="300"/>
      <c r="H12" s="300"/>
      <c r="I12" s="300"/>
      <c r="J12" s="301"/>
    </row>
    <row r="13" spans="1:10">
      <c r="A13" s="302"/>
      <c r="B13" s="303" t="s">
        <v>439</v>
      </c>
      <c r="C13" s="303">
        <v>88266</v>
      </c>
      <c r="D13" s="304" t="s">
        <v>572</v>
      </c>
      <c r="E13" s="303" t="s">
        <v>82</v>
      </c>
      <c r="F13" s="303">
        <v>1</v>
      </c>
      <c r="G13" s="305"/>
      <c r="H13" s="306"/>
      <c r="I13" s="307"/>
      <c r="J13" s="308">
        <f>SUM(J14:J22)</f>
        <v>31.546999999999997</v>
      </c>
    </row>
    <row r="14" spans="1:10">
      <c r="A14" s="297"/>
      <c r="B14" s="309" t="s">
        <v>439</v>
      </c>
      <c r="C14" s="309" t="s">
        <v>440</v>
      </c>
      <c r="D14" s="310" t="s">
        <v>441</v>
      </c>
      <c r="E14" s="309" t="s">
        <v>82</v>
      </c>
      <c r="F14" s="309">
        <v>1</v>
      </c>
      <c r="G14" s="311"/>
      <c r="H14" s="312">
        <v>20.59</v>
      </c>
      <c r="I14" s="300"/>
      <c r="J14" s="313">
        <f>F14*H14</f>
        <v>20.59</v>
      </c>
    </row>
    <row r="15" spans="1:10">
      <c r="A15" s="297"/>
      <c r="B15" s="309" t="s">
        <v>439</v>
      </c>
      <c r="C15" s="309" t="s">
        <v>442</v>
      </c>
      <c r="D15" s="310" t="s">
        <v>443</v>
      </c>
      <c r="E15" s="309" t="s">
        <v>82</v>
      </c>
      <c r="F15" s="309">
        <v>1</v>
      </c>
      <c r="G15" s="314"/>
      <c r="H15" s="315">
        <v>1.04</v>
      </c>
      <c r="I15" s="300"/>
      <c r="J15" s="313">
        <f t="shared" ref="J15:J22" si="0">F15*H15</f>
        <v>1.04</v>
      </c>
    </row>
    <row r="16" spans="1:10">
      <c r="A16" s="297"/>
      <c r="B16" s="309" t="s">
        <v>439</v>
      </c>
      <c r="C16" s="309" t="s">
        <v>444</v>
      </c>
      <c r="D16" s="310" t="s">
        <v>445</v>
      </c>
      <c r="E16" s="309" t="s">
        <v>82</v>
      </c>
      <c r="F16" s="309">
        <v>1</v>
      </c>
      <c r="G16" s="314"/>
      <c r="H16" s="315">
        <v>1.1499999999999999</v>
      </c>
      <c r="I16" s="300"/>
      <c r="J16" s="313">
        <f t="shared" si="0"/>
        <v>1.1499999999999999</v>
      </c>
    </row>
    <row r="17" spans="1:10">
      <c r="A17" s="297"/>
      <c r="B17" s="309" t="s">
        <v>439</v>
      </c>
      <c r="C17" s="309" t="s">
        <v>446</v>
      </c>
      <c r="D17" s="310" t="s">
        <v>447</v>
      </c>
      <c r="E17" s="309" t="s">
        <v>82</v>
      </c>
      <c r="F17" s="309">
        <v>1</v>
      </c>
      <c r="G17" s="314"/>
      <c r="H17" s="315">
        <v>0.55000000000000004</v>
      </c>
      <c r="I17" s="300"/>
      <c r="J17" s="313">
        <f t="shared" si="0"/>
        <v>0.55000000000000004</v>
      </c>
    </row>
    <row r="18" spans="1:10">
      <c r="A18" s="297"/>
      <c r="B18" s="309" t="s">
        <v>439</v>
      </c>
      <c r="C18" s="309" t="s">
        <v>448</v>
      </c>
      <c r="D18" s="310" t="s">
        <v>449</v>
      </c>
      <c r="E18" s="309" t="s">
        <v>82</v>
      </c>
      <c r="F18" s="309">
        <v>1</v>
      </c>
      <c r="G18" s="314"/>
      <c r="H18" s="315">
        <v>0.06</v>
      </c>
      <c r="I18" s="300"/>
      <c r="J18" s="313">
        <f t="shared" si="0"/>
        <v>0.06</v>
      </c>
    </row>
    <row r="19" spans="1:10">
      <c r="A19" s="297"/>
      <c r="B19" s="309" t="s">
        <v>439</v>
      </c>
      <c r="C19" s="309">
        <v>43460</v>
      </c>
      <c r="D19" s="310" t="s">
        <v>450</v>
      </c>
      <c r="E19" s="309" t="s">
        <v>82</v>
      </c>
      <c r="F19" s="309">
        <v>1</v>
      </c>
      <c r="G19" s="314"/>
      <c r="H19" s="315">
        <v>0.62</v>
      </c>
      <c r="I19" s="300"/>
      <c r="J19" s="313">
        <f t="shared" si="0"/>
        <v>0.62</v>
      </c>
    </row>
    <row r="20" spans="1:10">
      <c r="A20" s="297"/>
      <c r="B20" s="309" t="s">
        <v>439</v>
      </c>
      <c r="C20" s="309">
        <v>43484</v>
      </c>
      <c r="D20" s="310" t="s">
        <v>451</v>
      </c>
      <c r="E20" s="309" t="s">
        <v>82</v>
      </c>
      <c r="F20" s="309">
        <v>1</v>
      </c>
      <c r="G20" s="314"/>
      <c r="H20" s="315">
        <v>0.91</v>
      </c>
      <c r="I20" s="300"/>
      <c r="J20" s="313">
        <f t="shared" si="0"/>
        <v>0.91</v>
      </c>
    </row>
    <row r="21" spans="1:10" ht="27">
      <c r="A21" s="297"/>
      <c r="B21" s="309" t="s">
        <v>439</v>
      </c>
      <c r="C21" s="309" t="s">
        <v>452</v>
      </c>
      <c r="D21" s="310" t="s">
        <v>453</v>
      </c>
      <c r="E21" s="309" t="s">
        <v>82</v>
      </c>
      <c r="F21" s="309">
        <v>1</v>
      </c>
      <c r="G21" s="314"/>
      <c r="H21" s="312">
        <v>0.45</v>
      </c>
      <c r="I21" s="300"/>
      <c r="J21" s="313">
        <f t="shared" si="0"/>
        <v>0.45</v>
      </c>
    </row>
    <row r="22" spans="1:10">
      <c r="A22" s="297"/>
      <c r="B22" s="309" t="s">
        <v>454</v>
      </c>
      <c r="C22" s="309"/>
      <c r="D22" s="310" t="s">
        <v>455</v>
      </c>
      <c r="E22" s="309" t="s">
        <v>82</v>
      </c>
      <c r="F22" s="309">
        <v>1</v>
      </c>
      <c r="G22" s="314"/>
      <c r="H22" s="312">
        <f>0.3*H14</f>
        <v>6.1769999999999996</v>
      </c>
      <c r="I22" s="300"/>
      <c r="J22" s="313">
        <f t="shared" si="0"/>
        <v>6.1769999999999996</v>
      </c>
    </row>
    <row r="23" spans="1:10">
      <c r="A23" s="297"/>
      <c r="B23" s="309"/>
      <c r="C23" s="309"/>
      <c r="D23" s="310"/>
      <c r="E23" s="309"/>
      <c r="F23" s="309"/>
      <c r="G23" s="311"/>
      <c r="H23" s="311"/>
      <c r="I23" s="300"/>
      <c r="J23" s="301"/>
    </row>
    <row r="24" spans="1:10">
      <c r="A24" s="297" t="s">
        <v>456</v>
      </c>
      <c r="B24" s="298"/>
      <c r="C24" s="298"/>
      <c r="D24" s="299"/>
      <c r="E24" s="298"/>
      <c r="F24" s="298"/>
      <c r="G24" s="300"/>
      <c r="H24" s="300"/>
      <c r="I24" s="300"/>
      <c r="J24" s="301"/>
    </row>
    <row r="25" spans="1:10" ht="27">
      <c r="A25" s="302"/>
      <c r="B25" s="303" t="s">
        <v>439</v>
      </c>
      <c r="C25" s="303">
        <v>88264</v>
      </c>
      <c r="D25" s="304" t="s">
        <v>457</v>
      </c>
      <c r="E25" s="303" t="s">
        <v>82</v>
      </c>
      <c r="F25" s="303">
        <v>1</v>
      </c>
      <c r="G25" s="305"/>
      <c r="H25" s="306"/>
      <c r="I25" s="307"/>
      <c r="J25" s="308">
        <f>SUM(J26:J34)</f>
        <v>25.201999999999998</v>
      </c>
    </row>
    <row r="26" spans="1:10">
      <c r="A26" s="297"/>
      <c r="B26" s="309" t="s">
        <v>439</v>
      </c>
      <c r="C26" s="309">
        <v>2436</v>
      </c>
      <c r="D26" s="310" t="s">
        <v>458</v>
      </c>
      <c r="E26" s="309" t="s">
        <v>82</v>
      </c>
      <c r="F26" s="309">
        <v>1</v>
      </c>
      <c r="G26" s="311"/>
      <c r="H26" s="312">
        <v>15.74</v>
      </c>
      <c r="I26" s="300"/>
      <c r="J26" s="313">
        <f>F26*H26</f>
        <v>15.74</v>
      </c>
    </row>
    <row r="27" spans="1:10">
      <c r="A27" s="297"/>
      <c r="B27" s="309" t="s">
        <v>439</v>
      </c>
      <c r="C27" s="309" t="s">
        <v>442</v>
      </c>
      <c r="D27" s="310" t="s">
        <v>459</v>
      </c>
      <c r="E27" s="309" t="s">
        <v>82</v>
      </c>
      <c r="F27" s="309">
        <v>1</v>
      </c>
      <c r="G27" s="314"/>
      <c r="H27" s="314">
        <f>$H$15</f>
        <v>1.04</v>
      </c>
      <c r="I27" s="300"/>
      <c r="J27" s="313">
        <f t="shared" ref="J27:J34" si="1">F27*H27</f>
        <v>1.04</v>
      </c>
    </row>
    <row r="28" spans="1:10">
      <c r="A28" s="297"/>
      <c r="B28" s="309" t="s">
        <v>439</v>
      </c>
      <c r="C28" s="309" t="s">
        <v>444</v>
      </c>
      <c r="D28" s="310" t="s">
        <v>460</v>
      </c>
      <c r="E28" s="309" t="s">
        <v>82</v>
      </c>
      <c r="F28" s="309">
        <v>1</v>
      </c>
      <c r="G28" s="314"/>
      <c r="H28" s="314">
        <f>$H$16</f>
        <v>1.1499999999999999</v>
      </c>
      <c r="I28" s="300"/>
      <c r="J28" s="313">
        <f t="shared" si="1"/>
        <v>1.1499999999999999</v>
      </c>
    </row>
    <row r="29" spans="1:10">
      <c r="A29" s="297"/>
      <c r="B29" s="309" t="s">
        <v>439</v>
      </c>
      <c r="C29" s="309" t="s">
        <v>446</v>
      </c>
      <c r="D29" s="310" t="s">
        <v>461</v>
      </c>
      <c r="E29" s="309" t="s">
        <v>82</v>
      </c>
      <c r="F29" s="309">
        <v>1</v>
      </c>
      <c r="G29" s="314"/>
      <c r="H29" s="314">
        <f>$H$17</f>
        <v>0.55000000000000004</v>
      </c>
      <c r="I29" s="300"/>
      <c r="J29" s="313">
        <f t="shared" si="1"/>
        <v>0.55000000000000004</v>
      </c>
    </row>
    <row r="30" spans="1:10">
      <c r="A30" s="297"/>
      <c r="B30" s="309" t="s">
        <v>439</v>
      </c>
      <c r="C30" s="309" t="s">
        <v>448</v>
      </c>
      <c r="D30" s="310" t="s">
        <v>462</v>
      </c>
      <c r="E30" s="309" t="s">
        <v>82</v>
      </c>
      <c r="F30" s="309">
        <v>1</v>
      </c>
      <c r="G30" s="314"/>
      <c r="H30" s="314">
        <f>$H$18</f>
        <v>0.06</v>
      </c>
      <c r="I30" s="300"/>
      <c r="J30" s="313">
        <f t="shared" si="1"/>
        <v>0.06</v>
      </c>
    </row>
    <row r="31" spans="1:10">
      <c r="A31" s="297"/>
      <c r="B31" s="309" t="s">
        <v>439</v>
      </c>
      <c r="C31" s="309">
        <v>43460</v>
      </c>
      <c r="D31" s="310" t="s">
        <v>450</v>
      </c>
      <c r="E31" s="309" t="s">
        <v>82</v>
      </c>
      <c r="F31" s="309">
        <v>1</v>
      </c>
      <c r="G31" s="314"/>
      <c r="H31" s="314">
        <f>$H$19</f>
        <v>0.62</v>
      </c>
      <c r="I31" s="300"/>
      <c r="J31" s="313">
        <f t="shared" si="1"/>
        <v>0.62</v>
      </c>
    </row>
    <row r="32" spans="1:10">
      <c r="A32" s="297"/>
      <c r="B32" s="309" t="s">
        <v>439</v>
      </c>
      <c r="C32" s="309">
        <v>43484</v>
      </c>
      <c r="D32" s="310" t="s">
        <v>451</v>
      </c>
      <c r="E32" s="309" t="s">
        <v>82</v>
      </c>
      <c r="F32" s="309">
        <v>1</v>
      </c>
      <c r="G32" s="314"/>
      <c r="H32" s="314">
        <f>$H$20</f>
        <v>0.91</v>
      </c>
      <c r="I32" s="300"/>
      <c r="J32" s="313">
        <f t="shared" si="1"/>
        <v>0.91</v>
      </c>
    </row>
    <row r="33" spans="1:10" ht="27">
      <c r="A33" s="297"/>
      <c r="B33" s="309" t="s">
        <v>439</v>
      </c>
      <c r="C33" s="309" t="s">
        <v>463</v>
      </c>
      <c r="D33" s="310" t="s">
        <v>464</v>
      </c>
      <c r="E33" s="309" t="s">
        <v>82</v>
      </c>
      <c r="F33" s="309">
        <v>1</v>
      </c>
      <c r="G33" s="314"/>
      <c r="H33" s="312">
        <v>0.41</v>
      </c>
      <c r="I33" s="300"/>
      <c r="J33" s="313">
        <f t="shared" si="1"/>
        <v>0.41</v>
      </c>
    </row>
    <row r="34" spans="1:10">
      <c r="A34" s="297"/>
      <c r="B34" s="309" t="s">
        <v>454</v>
      </c>
      <c r="C34" s="309"/>
      <c r="D34" s="310" t="s">
        <v>455</v>
      </c>
      <c r="E34" s="309" t="s">
        <v>82</v>
      </c>
      <c r="F34" s="309">
        <v>1</v>
      </c>
      <c r="G34" s="314"/>
      <c r="H34" s="311">
        <f>0.3*H26</f>
        <v>4.7219999999999995</v>
      </c>
      <c r="I34" s="300"/>
      <c r="J34" s="313">
        <f t="shared" si="1"/>
        <v>4.7219999999999995</v>
      </c>
    </row>
    <row r="35" spans="1:10">
      <c r="A35" s="297"/>
      <c r="B35" s="309"/>
      <c r="C35" s="309"/>
      <c r="D35" s="310"/>
      <c r="E35" s="309"/>
      <c r="F35" s="309"/>
      <c r="G35" s="311"/>
      <c r="H35" s="311"/>
      <c r="I35" s="300"/>
      <c r="J35" s="301"/>
    </row>
    <row r="36" spans="1:10">
      <c r="A36" s="297" t="s">
        <v>465</v>
      </c>
      <c r="B36" s="309"/>
      <c r="C36" s="309"/>
      <c r="D36" s="310"/>
      <c r="E36" s="309"/>
      <c r="F36" s="309"/>
      <c r="G36" s="311"/>
      <c r="H36" s="311"/>
      <c r="I36" s="300"/>
      <c r="J36" s="301"/>
    </row>
    <row r="37" spans="1:10" ht="27">
      <c r="A37" s="302"/>
      <c r="B37" s="303" t="s">
        <v>439</v>
      </c>
      <c r="C37" s="303">
        <v>88247</v>
      </c>
      <c r="D37" s="304" t="s">
        <v>466</v>
      </c>
      <c r="E37" s="303" t="s">
        <v>82</v>
      </c>
      <c r="F37" s="303">
        <v>1</v>
      </c>
      <c r="G37" s="305"/>
      <c r="H37" s="305"/>
      <c r="I37" s="307"/>
      <c r="J37" s="308">
        <f>SUM(J38:J46)</f>
        <v>18.998000000000001</v>
      </c>
    </row>
    <row r="38" spans="1:10">
      <c r="A38" s="297"/>
      <c r="B38" s="309" t="s">
        <v>439</v>
      </c>
      <c r="C38" s="309" t="s">
        <v>467</v>
      </c>
      <c r="D38" s="310" t="s">
        <v>468</v>
      </c>
      <c r="E38" s="309" t="s">
        <v>82</v>
      </c>
      <c r="F38" s="309">
        <v>1</v>
      </c>
      <c r="G38" s="311"/>
      <c r="H38" s="315">
        <v>11.06</v>
      </c>
      <c r="I38" s="300"/>
      <c r="J38" s="313">
        <f>F38*H38</f>
        <v>11.06</v>
      </c>
    </row>
    <row r="39" spans="1:10">
      <c r="A39" s="297"/>
      <c r="B39" s="309" t="s">
        <v>439</v>
      </c>
      <c r="C39" s="309" t="s">
        <v>442</v>
      </c>
      <c r="D39" s="310" t="s">
        <v>459</v>
      </c>
      <c r="E39" s="309" t="s">
        <v>82</v>
      </c>
      <c r="F39" s="309">
        <v>1</v>
      </c>
      <c r="G39" s="311"/>
      <c r="H39" s="314">
        <f>$H$15</f>
        <v>1.04</v>
      </c>
      <c r="I39" s="300"/>
      <c r="J39" s="313">
        <f t="shared" ref="J39:J46" si="2">F39*H39</f>
        <v>1.04</v>
      </c>
    </row>
    <row r="40" spans="1:10">
      <c r="A40" s="297"/>
      <c r="B40" s="309" t="s">
        <v>439</v>
      </c>
      <c r="C40" s="309" t="s">
        <v>444</v>
      </c>
      <c r="D40" s="310" t="s">
        <v>460</v>
      </c>
      <c r="E40" s="309" t="s">
        <v>82</v>
      </c>
      <c r="F40" s="309">
        <v>1</v>
      </c>
      <c r="G40" s="311"/>
      <c r="H40" s="314">
        <f>$H$16</f>
        <v>1.1499999999999999</v>
      </c>
      <c r="I40" s="300"/>
      <c r="J40" s="313">
        <f t="shared" si="2"/>
        <v>1.1499999999999999</v>
      </c>
    </row>
    <row r="41" spans="1:10">
      <c r="A41" s="297"/>
      <c r="B41" s="309" t="s">
        <v>439</v>
      </c>
      <c r="C41" s="309" t="s">
        <v>446</v>
      </c>
      <c r="D41" s="310" t="s">
        <v>461</v>
      </c>
      <c r="E41" s="309" t="s">
        <v>82</v>
      </c>
      <c r="F41" s="309">
        <v>1</v>
      </c>
      <c r="G41" s="311"/>
      <c r="H41" s="314">
        <f>$H$17</f>
        <v>0.55000000000000004</v>
      </c>
      <c r="I41" s="300"/>
      <c r="J41" s="313">
        <f t="shared" si="2"/>
        <v>0.55000000000000004</v>
      </c>
    </row>
    <row r="42" spans="1:10">
      <c r="A42" s="297"/>
      <c r="B42" s="309" t="s">
        <v>439</v>
      </c>
      <c r="C42" s="309" t="s">
        <v>448</v>
      </c>
      <c r="D42" s="310" t="s">
        <v>462</v>
      </c>
      <c r="E42" s="309" t="s">
        <v>82</v>
      </c>
      <c r="F42" s="309">
        <v>1</v>
      </c>
      <c r="G42" s="311"/>
      <c r="H42" s="314">
        <f>$H$18</f>
        <v>0.06</v>
      </c>
      <c r="I42" s="300"/>
      <c r="J42" s="313">
        <f t="shared" si="2"/>
        <v>0.06</v>
      </c>
    </row>
    <row r="43" spans="1:10">
      <c r="A43" s="297"/>
      <c r="B43" s="309" t="s">
        <v>439</v>
      </c>
      <c r="C43" s="309">
        <v>43460</v>
      </c>
      <c r="D43" s="310" t="s">
        <v>450</v>
      </c>
      <c r="E43" s="309" t="s">
        <v>82</v>
      </c>
      <c r="F43" s="309">
        <v>1</v>
      </c>
      <c r="G43" s="311"/>
      <c r="H43" s="314">
        <f>$H$19</f>
        <v>0.62</v>
      </c>
      <c r="I43" s="300"/>
      <c r="J43" s="313">
        <f t="shared" si="2"/>
        <v>0.62</v>
      </c>
    </row>
    <row r="44" spans="1:10">
      <c r="A44" s="297"/>
      <c r="B44" s="309" t="s">
        <v>439</v>
      </c>
      <c r="C44" s="309">
        <v>43484</v>
      </c>
      <c r="D44" s="310" t="s">
        <v>451</v>
      </c>
      <c r="E44" s="309" t="s">
        <v>82</v>
      </c>
      <c r="F44" s="309">
        <v>1</v>
      </c>
      <c r="G44" s="311"/>
      <c r="H44" s="314">
        <f>$H$20</f>
        <v>0.91</v>
      </c>
      <c r="I44" s="300"/>
      <c r="J44" s="313">
        <f t="shared" si="2"/>
        <v>0.91</v>
      </c>
    </row>
    <row r="45" spans="1:10" ht="27">
      <c r="A45" s="297"/>
      <c r="B45" s="309" t="s">
        <v>439</v>
      </c>
      <c r="C45" s="309" t="s">
        <v>469</v>
      </c>
      <c r="D45" s="310" t="s">
        <v>470</v>
      </c>
      <c r="E45" s="309" t="s">
        <v>82</v>
      </c>
      <c r="F45" s="309">
        <v>1</v>
      </c>
      <c r="G45" s="311"/>
      <c r="H45" s="312">
        <v>0.28999999999999998</v>
      </c>
      <c r="I45" s="300"/>
      <c r="J45" s="313">
        <f t="shared" si="2"/>
        <v>0.28999999999999998</v>
      </c>
    </row>
    <row r="46" spans="1:10">
      <c r="A46" s="297"/>
      <c r="B46" s="309" t="s">
        <v>454</v>
      </c>
      <c r="C46" s="309"/>
      <c r="D46" s="310" t="s">
        <v>455</v>
      </c>
      <c r="E46" s="309" t="s">
        <v>82</v>
      </c>
      <c r="F46" s="309">
        <v>1</v>
      </c>
      <c r="G46" s="311"/>
      <c r="H46" s="312">
        <f>0.3*H38</f>
        <v>3.3180000000000001</v>
      </c>
      <c r="I46" s="300"/>
      <c r="J46" s="313">
        <f t="shared" si="2"/>
        <v>3.3180000000000001</v>
      </c>
    </row>
    <row r="47" spans="1:10">
      <c r="A47" s="297"/>
      <c r="B47" s="298"/>
      <c r="C47" s="298"/>
      <c r="D47" s="299"/>
      <c r="E47" s="298"/>
      <c r="F47" s="298"/>
      <c r="G47" s="300"/>
      <c r="H47" s="300"/>
      <c r="I47" s="300"/>
      <c r="J47" s="301"/>
    </row>
    <row r="48" spans="1:10">
      <c r="A48" s="297" t="s">
        <v>472</v>
      </c>
      <c r="B48" s="298"/>
      <c r="C48" s="298"/>
      <c r="D48" s="299"/>
      <c r="E48" s="298"/>
      <c r="F48" s="298"/>
      <c r="G48" s="300"/>
      <c r="H48" s="300"/>
      <c r="I48" s="300"/>
      <c r="J48" s="301"/>
    </row>
    <row r="49" spans="1:10" ht="40.5">
      <c r="A49" s="318"/>
      <c r="B49" s="303" t="s">
        <v>471</v>
      </c>
      <c r="C49" s="303">
        <v>4</v>
      </c>
      <c r="D49" s="319" t="s">
        <v>473</v>
      </c>
      <c r="E49" s="303" t="s">
        <v>474</v>
      </c>
      <c r="F49" s="303">
        <v>1</v>
      </c>
      <c r="G49" s="320"/>
      <c r="H49" s="320"/>
      <c r="I49" s="320">
        <f>SUM(I50:I51)</f>
        <v>0</v>
      </c>
      <c r="J49" s="321">
        <f>SUM(J50:J51)</f>
        <v>6.1880000000000006</v>
      </c>
    </row>
    <row r="50" spans="1:10" ht="27">
      <c r="A50" s="322"/>
      <c r="B50" s="309" t="s">
        <v>471</v>
      </c>
      <c r="C50" s="309">
        <v>1</v>
      </c>
      <c r="D50" s="310" t="str">
        <f>$D$25</f>
        <v>Eletricista com encargos complementares e adicional de periculosidade</v>
      </c>
      <c r="E50" s="309" t="s">
        <v>82</v>
      </c>
      <c r="F50" s="309">
        <v>0.14000000000000001</v>
      </c>
      <c r="G50" s="314"/>
      <c r="H50" s="311">
        <f>$J$25</f>
        <v>25.201999999999998</v>
      </c>
      <c r="I50" s="314">
        <f>F50*G50</f>
        <v>0</v>
      </c>
      <c r="J50" s="313">
        <f>F50*H50</f>
        <v>3.5282800000000001</v>
      </c>
    </row>
    <row r="51" spans="1:10" ht="27">
      <c r="A51" s="322"/>
      <c r="B51" s="309" t="s">
        <v>471</v>
      </c>
      <c r="C51" s="309">
        <v>2</v>
      </c>
      <c r="D51" s="310" t="str">
        <f>$D$37</f>
        <v>Auxiliar de eletricista com encargos complementares e adicional de periculosidade</v>
      </c>
      <c r="E51" s="309" t="s">
        <v>82</v>
      </c>
      <c r="F51" s="309">
        <v>0.14000000000000001</v>
      </c>
      <c r="G51" s="314"/>
      <c r="H51" s="311">
        <f>$J$37</f>
        <v>18.998000000000001</v>
      </c>
      <c r="I51" s="314">
        <f>F51*G51</f>
        <v>0</v>
      </c>
      <c r="J51" s="313">
        <f>F51*H51</f>
        <v>2.6597200000000005</v>
      </c>
    </row>
    <row r="52" spans="1:10">
      <c r="A52" s="297"/>
      <c r="B52" s="298"/>
      <c r="C52" s="298"/>
      <c r="D52" s="299"/>
      <c r="E52" s="298"/>
      <c r="F52" s="298"/>
      <c r="G52" s="300"/>
      <c r="H52" s="311"/>
      <c r="I52" s="314"/>
      <c r="J52" s="313"/>
    </row>
    <row r="53" spans="1:10">
      <c r="A53" s="297" t="s">
        <v>475</v>
      </c>
      <c r="B53" s="298"/>
      <c r="C53" s="298"/>
      <c r="D53" s="299"/>
      <c r="E53" s="298"/>
      <c r="F53" s="298"/>
      <c r="G53" s="300"/>
      <c r="H53" s="300"/>
      <c r="I53" s="300"/>
      <c r="J53" s="301"/>
    </row>
    <row r="54" spans="1:10">
      <c r="A54" s="318"/>
      <c r="B54" s="303" t="s">
        <v>471</v>
      </c>
      <c r="C54" s="303">
        <v>6</v>
      </c>
      <c r="D54" s="319" t="s">
        <v>476</v>
      </c>
      <c r="E54" s="303" t="s">
        <v>75</v>
      </c>
      <c r="F54" s="303">
        <v>1</v>
      </c>
      <c r="G54" s="320"/>
      <c r="H54" s="320"/>
      <c r="I54" s="320">
        <f>SUM(I55:I56)</f>
        <v>0</v>
      </c>
      <c r="J54" s="321">
        <f>SUM(J55:J56)</f>
        <v>8.84</v>
      </c>
    </row>
    <row r="55" spans="1:10" ht="27">
      <c r="A55" s="322"/>
      <c r="B55" s="309" t="s">
        <v>471</v>
      </c>
      <c r="C55" s="309">
        <v>1</v>
      </c>
      <c r="D55" s="310" t="str">
        <f>$D$25</f>
        <v>Eletricista com encargos complementares e adicional de periculosidade</v>
      </c>
      <c r="E55" s="309" t="s">
        <v>82</v>
      </c>
      <c r="F55" s="309">
        <v>0.2</v>
      </c>
      <c r="G55" s="314"/>
      <c r="H55" s="311">
        <f>$J$25</f>
        <v>25.201999999999998</v>
      </c>
      <c r="I55" s="314">
        <f>F55*G55</f>
        <v>0</v>
      </c>
      <c r="J55" s="313">
        <f>F55*H55</f>
        <v>5.0404</v>
      </c>
    </row>
    <row r="56" spans="1:10" ht="27">
      <c r="A56" s="322"/>
      <c r="B56" s="309" t="s">
        <v>471</v>
      </c>
      <c r="C56" s="309">
        <v>2</v>
      </c>
      <c r="D56" s="310" t="str">
        <f>$D$37</f>
        <v>Auxiliar de eletricista com encargos complementares e adicional de periculosidade</v>
      </c>
      <c r="E56" s="309" t="s">
        <v>82</v>
      </c>
      <c r="F56" s="309">
        <v>0.2</v>
      </c>
      <c r="G56" s="314"/>
      <c r="H56" s="311">
        <f>$J$37</f>
        <v>18.998000000000001</v>
      </c>
      <c r="I56" s="314">
        <f>F56*G56</f>
        <v>0</v>
      </c>
      <c r="J56" s="313">
        <f>F56*H56</f>
        <v>3.7996000000000003</v>
      </c>
    </row>
    <row r="57" spans="1:10">
      <c r="A57" s="327"/>
      <c r="B57" s="309"/>
      <c r="C57" s="323"/>
      <c r="D57" s="329"/>
      <c r="E57" s="309"/>
      <c r="F57" s="309"/>
      <c r="G57" s="314"/>
      <c r="H57" s="314"/>
      <c r="I57" s="314"/>
      <c r="J57" s="313"/>
    </row>
    <row r="58" spans="1:10">
      <c r="A58" s="297" t="s">
        <v>478</v>
      </c>
      <c r="B58" s="309"/>
      <c r="C58" s="323"/>
      <c r="D58" s="299"/>
      <c r="E58" s="309"/>
      <c r="F58" s="309"/>
      <c r="G58" s="314"/>
      <c r="H58" s="314"/>
      <c r="I58" s="314"/>
      <c r="J58" s="313"/>
    </row>
    <row r="59" spans="1:10" ht="27">
      <c r="A59" s="325"/>
      <c r="B59" s="303" t="s">
        <v>439</v>
      </c>
      <c r="C59" s="303">
        <v>91926</v>
      </c>
      <c r="D59" s="319" t="s">
        <v>479</v>
      </c>
      <c r="E59" s="303" t="s">
        <v>75</v>
      </c>
      <c r="F59" s="303">
        <v>1</v>
      </c>
      <c r="G59" s="316"/>
      <c r="H59" s="316"/>
      <c r="I59" s="316">
        <f>SUM(I60:I63)</f>
        <v>2.7607999999999997</v>
      </c>
      <c r="J59" s="317">
        <f>SUM(J60:J63)</f>
        <v>1.3516499999999998</v>
      </c>
    </row>
    <row r="60" spans="1:10">
      <c r="A60" s="327"/>
      <c r="B60" s="309" t="s">
        <v>439</v>
      </c>
      <c r="C60" s="309">
        <v>1014</v>
      </c>
      <c r="D60" s="310" t="s">
        <v>480</v>
      </c>
      <c r="E60" s="309" t="s">
        <v>75</v>
      </c>
      <c r="F60" s="309">
        <v>1.19</v>
      </c>
      <c r="G60" s="315">
        <v>2.3199999999999998</v>
      </c>
      <c r="H60" s="314"/>
      <c r="I60" s="314">
        <f>F60*G60</f>
        <v>2.7607999999999997</v>
      </c>
      <c r="J60" s="313">
        <f>F60*H60</f>
        <v>0</v>
      </c>
    </row>
    <row r="61" spans="1:10">
      <c r="A61" s="327"/>
      <c r="B61" s="309" t="s">
        <v>439</v>
      </c>
      <c r="C61" s="309">
        <v>21127</v>
      </c>
      <c r="D61" s="310" t="s">
        <v>477</v>
      </c>
      <c r="E61" s="309" t="s">
        <v>44</v>
      </c>
      <c r="F61" s="309">
        <v>8.9999999999999993E-3</v>
      </c>
      <c r="G61" s="314"/>
      <c r="H61" s="312">
        <v>2.85</v>
      </c>
      <c r="I61" s="314">
        <f t="shared" ref="I61" si="3">F61*G61</f>
        <v>0</v>
      </c>
      <c r="J61" s="313">
        <f t="shared" ref="J61" si="4">F61*H61</f>
        <v>2.5649999999999999E-2</v>
      </c>
    </row>
    <row r="62" spans="1:10" ht="27">
      <c r="A62" s="327"/>
      <c r="B62" s="309" t="s">
        <v>471</v>
      </c>
      <c r="C62" s="309">
        <v>1</v>
      </c>
      <c r="D62" s="310" t="str">
        <f>$D$25</f>
        <v>Eletricista com encargos complementares e adicional de periculosidade</v>
      </c>
      <c r="E62" s="309" t="s">
        <v>82</v>
      </c>
      <c r="F62" s="309">
        <v>0.03</v>
      </c>
      <c r="G62" s="314"/>
      <c r="H62" s="311">
        <f>$J$25</f>
        <v>25.201999999999998</v>
      </c>
      <c r="I62" s="314">
        <f>F62*G62</f>
        <v>0</v>
      </c>
      <c r="J62" s="313">
        <f>F62*H62</f>
        <v>0.75605999999999995</v>
      </c>
    </row>
    <row r="63" spans="1:10" ht="27">
      <c r="A63" s="328"/>
      <c r="B63" s="309" t="s">
        <v>471</v>
      </c>
      <c r="C63" s="309">
        <v>2</v>
      </c>
      <c r="D63" s="310" t="str">
        <f>$D$37</f>
        <v>Auxiliar de eletricista com encargos complementares e adicional de periculosidade</v>
      </c>
      <c r="E63" s="309" t="s">
        <v>82</v>
      </c>
      <c r="F63" s="309">
        <v>0.03</v>
      </c>
      <c r="G63" s="314"/>
      <c r="H63" s="311">
        <f>$J$37</f>
        <v>18.998000000000001</v>
      </c>
      <c r="I63" s="314">
        <f>F63*G63</f>
        <v>0</v>
      </c>
      <c r="J63" s="313">
        <f>F63*H63</f>
        <v>0.56994</v>
      </c>
    </row>
    <row r="64" spans="1:10">
      <c r="A64" s="328"/>
      <c r="B64" s="309"/>
      <c r="C64" s="309"/>
      <c r="D64" s="310"/>
      <c r="E64" s="309"/>
      <c r="F64" s="309"/>
      <c r="G64" s="314"/>
      <c r="H64" s="314"/>
      <c r="I64" s="314"/>
      <c r="J64" s="313"/>
    </row>
    <row r="65" spans="1:13">
      <c r="A65" s="297" t="s">
        <v>481</v>
      </c>
      <c r="B65" s="309"/>
      <c r="C65" s="309"/>
      <c r="D65" s="299"/>
      <c r="E65" s="309"/>
      <c r="F65" s="309"/>
      <c r="G65" s="314"/>
      <c r="H65" s="314"/>
      <c r="I65" s="314"/>
      <c r="J65" s="313"/>
    </row>
    <row r="66" spans="1:13" ht="27">
      <c r="A66" s="330"/>
      <c r="B66" s="303" t="s">
        <v>439</v>
      </c>
      <c r="C66" s="303">
        <v>91928</v>
      </c>
      <c r="D66" s="319" t="s">
        <v>482</v>
      </c>
      <c r="E66" s="331" t="s">
        <v>75</v>
      </c>
      <c r="F66" s="331">
        <v>1</v>
      </c>
      <c r="G66" s="316"/>
      <c r="H66" s="316"/>
      <c r="I66" s="316">
        <f>SUM(I67:I70)</f>
        <v>4.9504000000000001</v>
      </c>
      <c r="J66" s="317">
        <f>SUM(J67:J70)</f>
        <v>1.79365</v>
      </c>
      <c r="M66" s="261">
        <v>1</v>
      </c>
    </row>
    <row r="67" spans="1:13">
      <c r="A67" s="327"/>
      <c r="B67" s="309" t="s">
        <v>439</v>
      </c>
      <c r="C67" s="309">
        <v>981</v>
      </c>
      <c r="D67" s="310" t="s">
        <v>483</v>
      </c>
      <c r="E67" s="309" t="s">
        <v>75</v>
      </c>
      <c r="F67" s="309">
        <v>1.19</v>
      </c>
      <c r="G67" s="315">
        <v>4.16</v>
      </c>
      <c r="H67" s="314"/>
      <c r="I67" s="314">
        <f>F67*G67</f>
        <v>4.9504000000000001</v>
      </c>
      <c r="J67" s="313">
        <f>F67*H67</f>
        <v>0</v>
      </c>
    </row>
    <row r="68" spans="1:13">
      <c r="A68" s="327"/>
      <c r="B68" s="309" t="s">
        <v>439</v>
      </c>
      <c r="C68" s="309">
        <v>21127</v>
      </c>
      <c r="D68" s="310" t="s">
        <v>477</v>
      </c>
      <c r="E68" s="309" t="s">
        <v>44</v>
      </c>
      <c r="F68" s="309">
        <v>8.9999999999999993E-3</v>
      </c>
      <c r="G68" s="314"/>
      <c r="H68" s="311">
        <f>$H$61</f>
        <v>2.85</v>
      </c>
      <c r="I68" s="314">
        <f t="shared" ref="I68" si="5">F68*G68</f>
        <v>0</v>
      </c>
      <c r="J68" s="313">
        <f t="shared" ref="J68" si="6">F68*H68</f>
        <v>2.5649999999999999E-2</v>
      </c>
    </row>
    <row r="69" spans="1:13" ht="27">
      <c r="A69" s="327"/>
      <c r="B69" s="309" t="s">
        <v>471</v>
      </c>
      <c r="C69" s="309">
        <v>1</v>
      </c>
      <c r="D69" s="310" t="str">
        <f>$D$25</f>
        <v>Eletricista com encargos complementares e adicional de periculosidade</v>
      </c>
      <c r="E69" s="309" t="s">
        <v>82</v>
      </c>
      <c r="F69" s="309">
        <v>0.04</v>
      </c>
      <c r="G69" s="314"/>
      <c r="H69" s="311">
        <f>$J$25</f>
        <v>25.201999999999998</v>
      </c>
      <c r="I69" s="314">
        <f>F69*G69</f>
        <v>0</v>
      </c>
      <c r="J69" s="313">
        <f>F69*H69</f>
        <v>1.0080799999999999</v>
      </c>
    </row>
    <row r="70" spans="1:13" ht="27">
      <c r="A70" s="327"/>
      <c r="B70" s="309" t="s">
        <v>471</v>
      </c>
      <c r="C70" s="309">
        <v>2</v>
      </c>
      <c r="D70" s="310" t="str">
        <f>$D$37</f>
        <v>Auxiliar de eletricista com encargos complementares e adicional de periculosidade</v>
      </c>
      <c r="E70" s="309" t="s">
        <v>82</v>
      </c>
      <c r="F70" s="309">
        <v>0.04</v>
      </c>
      <c r="G70" s="314"/>
      <c r="H70" s="311">
        <f>$J$37</f>
        <v>18.998000000000001</v>
      </c>
      <c r="I70" s="314">
        <f>F70*G70</f>
        <v>0</v>
      </c>
      <c r="J70" s="313">
        <f>F70*H70</f>
        <v>0.75992000000000004</v>
      </c>
    </row>
    <row r="71" spans="1:13">
      <c r="A71" s="327"/>
      <c r="B71" s="309"/>
      <c r="C71" s="323"/>
      <c r="D71" s="329"/>
      <c r="E71" s="309"/>
      <c r="F71" s="309"/>
      <c r="G71" s="314"/>
      <c r="H71" s="314"/>
      <c r="I71" s="314"/>
      <c r="J71" s="313"/>
    </row>
    <row r="72" spans="1:13">
      <c r="A72" s="297" t="s">
        <v>484</v>
      </c>
      <c r="B72" s="309"/>
      <c r="C72" s="323"/>
      <c r="D72" s="299"/>
      <c r="E72" s="309"/>
      <c r="F72" s="309"/>
      <c r="G72" s="314"/>
      <c r="H72" s="314"/>
      <c r="I72" s="314"/>
      <c r="J72" s="313"/>
    </row>
    <row r="73" spans="1:13" ht="27">
      <c r="A73" s="325"/>
      <c r="B73" s="303" t="s">
        <v>439</v>
      </c>
      <c r="C73" s="303">
        <v>91930</v>
      </c>
      <c r="D73" s="319" t="s">
        <v>485</v>
      </c>
      <c r="E73" s="303" t="s">
        <v>75</v>
      </c>
      <c r="F73" s="303">
        <v>1</v>
      </c>
      <c r="G73" s="320"/>
      <c r="H73" s="320"/>
      <c r="I73" s="320">
        <f>SUM(I74:I77)</f>
        <v>6.9257999999999997</v>
      </c>
      <c r="J73" s="321">
        <f>SUM(J74:J77)</f>
        <v>2.3240499999999997</v>
      </c>
    </row>
    <row r="74" spans="1:13">
      <c r="A74" s="327"/>
      <c r="B74" s="309" t="s">
        <v>439</v>
      </c>
      <c r="C74" s="309">
        <v>982</v>
      </c>
      <c r="D74" s="310" t="s">
        <v>486</v>
      </c>
      <c r="E74" s="309" t="s">
        <v>75</v>
      </c>
      <c r="F74" s="309">
        <v>1.19</v>
      </c>
      <c r="G74" s="315">
        <v>5.82</v>
      </c>
      <c r="H74" s="314"/>
      <c r="I74" s="314">
        <f>F74*G74</f>
        <v>6.9257999999999997</v>
      </c>
      <c r="J74" s="313">
        <f>F74*H74</f>
        <v>0</v>
      </c>
    </row>
    <row r="75" spans="1:13">
      <c r="A75" s="327"/>
      <c r="B75" s="309" t="s">
        <v>439</v>
      </c>
      <c r="C75" s="309">
        <v>21127</v>
      </c>
      <c r="D75" s="310" t="s">
        <v>477</v>
      </c>
      <c r="E75" s="309" t="s">
        <v>44</v>
      </c>
      <c r="F75" s="309">
        <v>8.9999999999999993E-3</v>
      </c>
      <c r="G75" s="314"/>
      <c r="H75" s="311">
        <f>$H$61</f>
        <v>2.85</v>
      </c>
      <c r="I75" s="314">
        <f t="shared" ref="I75" si="7">F75*G75</f>
        <v>0</v>
      </c>
      <c r="J75" s="313">
        <f t="shared" ref="J75" si="8">F75*H75</f>
        <v>2.5649999999999999E-2</v>
      </c>
    </row>
    <row r="76" spans="1:13" ht="27">
      <c r="A76" s="327"/>
      <c r="B76" s="309" t="s">
        <v>471</v>
      </c>
      <c r="C76" s="309">
        <v>1</v>
      </c>
      <c r="D76" s="310" t="str">
        <f>$D$25</f>
        <v>Eletricista com encargos complementares e adicional de periculosidade</v>
      </c>
      <c r="E76" s="309" t="s">
        <v>82</v>
      </c>
      <c r="F76" s="309">
        <v>5.1999999999999998E-2</v>
      </c>
      <c r="G76" s="314"/>
      <c r="H76" s="311">
        <f>$J$25</f>
        <v>25.201999999999998</v>
      </c>
      <c r="I76" s="314">
        <f>F76*G76</f>
        <v>0</v>
      </c>
      <c r="J76" s="313">
        <f>F76*H76</f>
        <v>1.3105039999999999</v>
      </c>
    </row>
    <row r="77" spans="1:13" ht="27">
      <c r="A77" s="328"/>
      <c r="B77" s="309" t="s">
        <v>471</v>
      </c>
      <c r="C77" s="309">
        <v>2</v>
      </c>
      <c r="D77" s="310" t="str">
        <f>$D$37</f>
        <v>Auxiliar de eletricista com encargos complementares e adicional de periculosidade</v>
      </c>
      <c r="E77" s="309" t="s">
        <v>82</v>
      </c>
      <c r="F77" s="309">
        <v>5.1999999999999998E-2</v>
      </c>
      <c r="G77" s="314"/>
      <c r="H77" s="311">
        <f>$J$37</f>
        <v>18.998000000000001</v>
      </c>
      <c r="I77" s="314">
        <f>F77*G77</f>
        <v>0</v>
      </c>
      <c r="J77" s="313">
        <f>F77*H77</f>
        <v>0.987896</v>
      </c>
    </row>
    <row r="78" spans="1:13">
      <c r="A78" s="328"/>
      <c r="B78" s="309"/>
      <c r="C78" s="309"/>
      <c r="D78" s="310"/>
      <c r="E78" s="309"/>
      <c r="F78" s="309"/>
      <c r="G78" s="314"/>
      <c r="H78" s="311"/>
      <c r="I78" s="314"/>
      <c r="J78" s="313"/>
    </row>
    <row r="79" spans="1:13">
      <c r="A79" s="297" t="s">
        <v>487</v>
      </c>
      <c r="B79" s="309"/>
      <c r="C79" s="309"/>
      <c r="D79" s="310"/>
      <c r="E79" s="309"/>
      <c r="F79" s="309"/>
      <c r="G79" s="314"/>
      <c r="H79" s="314"/>
      <c r="I79" s="314"/>
      <c r="J79" s="313"/>
    </row>
    <row r="80" spans="1:13" ht="27">
      <c r="A80" s="325"/>
      <c r="B80" s="303" t="s">
        <v>439</v>
      </c>
      <c r="C80" s="303">
        <v>91932</v>
      </c>
      <c r="D80" s="319" t="s">
        <v>574</v>
      </c>
      <c r="E80" s="303" t="s">
        <v>75</v>
      </c>
      <c r="F80" s="303">
        <v>1</v>
      </c>
      <c r="G80" s="320"/>
      <c r="H80" s="320"/>
      <c r="I80" s="320">
        <f>SUM(I81:I84)</f>
        <v>8.3308614171961715</v>
      </c>
      <c r="J80" s="321">
        <f>SUM(J81:J84)</f>
        <v>2.5777999999999999</v>
      </c>
    </row>
    <row r="81" spans="1:10" s="357" customFormat="1">
      <c r="A81" s="326"/>
      <c r="B81" s="309" t="s">
        <v>488</v>
      </c>
      <c r="C81" s="309" t="s">
        <v>761</v>
      </c>
      <c r="D81" s="310" t="s">
        <v>573</v>
      </c>
      <c r="E81" s="309" t="s">
        <v>75</v>
      </c>
      <c r="F81" s="298">
        <v>1.19</v>
      </c>
      <c r="G81" s="315">
        <f>VLOOKUP(C81,'Fonte Cotação'!B:E,3,0)</f>
        <v>7.0007238799967828</v>
      </c>
      <c r="H81" s="311"/>
      <c r="I81" s="314">
        <f>F81*G81</f>
        <v>8.3308614171961715</v>
      </c>
      <c r="J81" s="313">
        <f t="shared" ref="J81:J82" si="9">F81*H81</f>
        <v>0</v>
      </c>
    </row>
    <row r="82" spans="1:10">
      <c r="A82" s="327"/>
      <c r="B82" s="309" t="s">
        <v>439</v>
      </c>
      <c r="C82" s="309">
        <v>21127</v>
      </c>
      <c r="D82" s="310" t="s">
        <v>477</v>
      </c>
      <c r="E82" s="309" t="s">
        <v>44</v>
      </c>
      <c r="F82" s="309">
        <f>4*0.009</f>
        <v>3.5999999999999997E-2</v>
      </c>
      <c r="G82" s="314"/>
      <c r="H82" s="311">
        <f>$H$61</f>
        <v>2.85</v>
      </c>
      <c r="I82" s="314">
        <f>F82*G82</f>
        <v>0</v>
      </c>
      <c r="J82" s="313">
        <f t="shared" si="9"/>
        <v>0.1026</v>
      </c>
    </row>
    <row r="83" spans="1:10" ht="27">
      <c r="A83" s="327"/>
      <c r="B83" s="309" t="s">
        <v>471</v>
      </c>
      <c r="C83" s="309">
        <v>1</v>
      </c>
      <c r="D83" s="310" t="str">
        <f>$D$25</f>
        <v>Eletricista com encargos complementares e adicional de periculosidade</v>
      </c>
      <c r="E83" s="309" t="s">
        <v>82</v>
      </c>
      <c r="F83" s="309">
        <v>5.6000000000000001E-2</v>
      </c>
      <c r="G83" s="314"/>
      <c r="H83" s="311">
        <f>$J$25</f>
        <v>25.201999999999998</v>
      </c>
      <c r="I83" s="314">
        <f>F83*G83</f>
        <v>0</v>
      </c>
      <c r="J83" s="313">
        <f>F83*H83</f>
        <v>1.4113119999999999</v>
      </c>
    </row>
    <row r="84" spans="1:10" ht="27">
      <c r="A84" s="327"/>
      <c r="B84" s="309" t="s">
        <v>471</v>
      </c>
      <c r="C84" s="309">
        <v>2</v>
      </c>
      <c r="D84" s="310" t="str">
        <f>$D$37</f>
        <v>Auxiliar de eletricista com encargos complementares e adicional de periculosidade</v>
      </c>
      <c r="E84" s="309" t="s">
        <v>82</v>
      </c>
      <c r="F84" s="309">
        <v>5.6000000000000001E-2</v>
      </c>
      <c r="G84" s="314"/>
      <c r="H84" s="311">
        <f>$J$37</f>
        <v>18.998000000000001</v>
      </c>
      <c r="I84" s="314">
        <f>F84*G84</f>
        <v>0</v>
      </c>
      <c r="J84" s="313">
        <f>F84*H84</f>
        <v>1.0638880000000002</v>
      </c>
    </row>
    <row r="85" spans="1:10">
      <c r="A85" s="327"/>
      <c r="B85" s="309"/>
      <c r="C85" s="309"/>
      <c r="D85" s="310"/>
      <c r="E85" s="309"/>
      <c r="F85" s="309"/>
      <c r="G85" s="311"/>
      <c r="H85" s="311"/>
      <c r="I85" s="314"/>
      <c r="J85" s="313"/>
    </row>
    <row r="86" spans="1:10">
      <c r="A86" s="297" t="s">
        <v>489</v>
      </c>
      <c r="B86" s="309"/>
      <c r="C86" s="309"/>
      <c r="D86" s="310"/>
      <c r="E86" s="309"/>
      <c r="F86" s="309"/>
      <c r="G86" s="311"/>
      <c r="H86" s="311"/>
      <c r="I86" s="314"/>
      <c r="J86" s="313"/>
    </row>
    <row r="87" spans="1:10">
      <c r="A87" s="360"/>
      <c r="B87" s="361" t="s">
        <v>439</v>
      </c>
      <c r="C87" s="361">
        <v>91947</v>
      </c>
      <c r="D87" s="362" t="s">
        <v>638</v>
      </c>
      <c r="E87" s="361" t="s">
        <v>44</v>
      </c>
      <c r="F87" s="361">
        <v>1</v>
      </c>
      <c r="G87" s="320"/>
      <c r="H87" s="320"/>
      <c r="I87" s="320">
        <f>SUM(I88:I89)</f>
        <v>2.5299999999999998</v>
      </c>
      <c r="J87" s="321">
        <f>SUM(J88:J89)</f>
        <v>2.2177759999999997</v>
      </c>
    </row>
    <row r="88" spans="1:10" s="357" customFormat="1">
      <c r="A88" s="363"/>
      <c r="B88" s="309" t="s">
        <v>439</v>
      </c>
      <c r="C88" s="309">
        <v>38091</v>
      </c>
      <c r="D88" s="310" t="s">
        <v>624</v>
      </c>
      <c r="E88" s="309" t="s">
        <v>44</v>
      </c>
      <c r="F88" s="309">
        <v>1</v>
      </c>
      <c r="G88" s="315">
        <v>2.5299999999999998</v>
      </c>
      <c r="H88" s="311">
        <v>0</v>
      </c>
      <c r="I88" s="314">
        <f>F88*G88</f>
        <v>2.5299999999999998</v>
      </c>
      <c r="J88" s="313">
        <f t="shared" ref="J88" si="10">F88*H88</f>
        <v>0</v>
      </c>
    </row>
    <row r="89" spans="1:10" ht="27">
      <c r="A89" s="363"/>
      <c r="B89" s="364" t="s">
        <v>471</v>
      </c>
      <c r="C89" s="364">
        <v>1</v>
      </c>
      <c r="D89" s="365" t="str">
        <f>$D$25</f>
        <v>Eletricista com encargos complementares e adicional de periculosidade</v>
      </c>
      <c r="E89" s="364" t="s">
        <v>82</v>
      </c>
      <c r="F89" s="364">
        <v>8.7999999999999995E-2</v>
      </c>
      <c r="G89" s="311"/>
      <c r="H89" s="311">
        <f>$J$25</f>
        <v>25.201999999999998</v>
      </c>
      <c r="I89" s="314">
        <f>F89*G89</f>
        <v>0</v>
      </c>
      <c r="J89" s="313">
        <f>F89*H89</f>
        <v>2.2177759999999997</v>
      </c>
    </row>
    <row r="90" spans="1:10">
      <c r="A90" s="327"/>
      <c r="B90" s="309"/>
      <c r="C90" s="309"/>
      <c r="D90" s="310"/>
      <c r="E90" s="309"/>
      <c r="F90" s="309"/>
      <c r="G90" s="311"/>
      <c r="H90" s="311"/>
      <c r="I90" s="314"/>
      <c r="J90" s="313"/>
    </row>
    <row r="91" spans="1:10">
      <c r="A91" s="297" t="s">
        <v>490</v>
      </c>
      <c r="B91" s="309"/>
      <c r="C91" s="309"/>
      <c r="D91" s="310"/>
      <c r="E91" s="309"/>
      <c r="F91" s="309"/>
      <c r="G91" s="314"/>
      <c r="H91" s="314"/>
      <c r="I91" s="314"/>
      <c r="J91" s="313"/>
    </row>
    <row r="92" spans="1:10" ht="54">
      <c r="A92" s="332"/>
      <c r="B92" s="303" t="s">
        <v>439</v>
      </c>
      <c r="C92" s="303">
        <v>92001</v>
      </c>
      <c r="D92" s="319" t="s">
        <v>625</v>
      </c>
      <c r="E92" s="303" t="s">
        <v>44</v>
      </c>
      <c r="F92" s="303">
        <v>1</v>
      </c>
      <c r="G92" s="320"/>
      <c r="H92" s="320"/>
      <c r="I92" s="320">
        <f>SUM(I93:I95)</f>
        <v>16.59</v>
      </c>
      <c r="J92" s="321">
        <f>SUM(J93:J95)</f>
        <v>13.512047999999998</v>
      </c>
    </row>
    <row r="93" spans="1:10" ht="27">
      <c r="A93" s="363"/>
      <c r="B93" s="309" t="s">
        <v>439</v>
      </c>
      <c r="C93" s="309">
        <v>38075</v>
      </c>
      <c r="D93" s="310" t="s">
        <v>643</v>
      </c>
      <c r="E93" s="309" t="s">
        <v>44</v>
      </c>
      <c r="F93" s="309">
        <v>1</v>
      </c>
      <c r="G93" s="315">
        <v>16.59</v>
      </c>
      <c r="H93" s="311">
        <v>0</v>
      </c>
      <c r="I93" s="314">
        <f>F93*G93</f>
        <v>16.59</v>
      </c>
      <c r="J93" s="313">
        <f t="shared" ref="J93" si="11">F93*H93</f>
        <v>0</v>
      </c>
    </row>
    <row r="94" spans="1:10" ht="27">
      <c r="A94" s="327"/>
      <c r="B94" s="309" t="s">
        <v>471</v>
      </c>
      <c r="C94" s="309">
        <v>1</v>
      </c>
      <c r="D94" s="310" t="str">
        <f>$D$25</f>
        <v>Eletricista com encargos complementares e adicional de periculosidade</v>
      </c>
      <c r="E94" s="309" t="s">
        <v>82</v>
      </c>
      <c r="F94" s="309">
        <f>0.124+0.235</f>
        <v>0.35899999999999999</v>
      </c>
      <c r="G94" s="311"/>
      <c r="H94" s="311">
        <f>$J$25</f>
        <v>25.201999999999998</v>
      </c>
      <c r="I94" s="314">
        <f>F94*G94</f>
        <v>0</v>
      </c>
      <c r="J94" s="313">
        <f>F94*H94</f>
        <v>9.0475179999999984</v>
      </c>
    </row>
    <row r="95" spans="1:10" ht="27">
      <c r="A95" s="327"/>
      <c r="B95" s="309" t="s">
        <v>471</v>
      </c>
      <c r="C95" s="309">
        <v>2</v>
      </c>
      <c r="D95" s="310" t="str">
        <f>$D$37</f>
        <v>Auxiliar de eletricista com encargos complementares e adicional de periculosidade</v>
      </c>
      <c r="E95" s="309" t="s">
        <v>82</v>
      </c>
      <c r="F95" s="309">
        <v>0.23499999999999999</v>
      </c>
      <c r="G95" s="311"/>
      <c r="H95" s="311">
        <f>$J$37</f>
        <v>18.998000000000001</v>
      </c>
      <c r="I95" s="314">
        <f>F95*G95</f>
        <v>0</v>
      </c>
      <c r="J95" s="313">
        <f>F95*H95</f>
        <v>4.4645299999999999</v>
      </c>
    </row>
    <row r="96" spans="1:10">
      <c r="A96" s="327"/>
      <c r="B96" s="309"/>
      <c r="C96" s="309"/>
      <c r="D96" s="310"/>
      <c r="E96" s="309"/>
      <c r="F96" s="309"/>
      <c r="G96" s="311"/>
      <c r="H96" s="311"/>
      <c r="I96" s="314"/>
      <c r="J96" s="313"/>
    </row>
    <row r="97" spans="1:10">
      <c r="A97" s="297" t="s">
        <v>491</v>
      </c>
      <c r="B97" s="309"/>
      <c r="C97" s="309"/>
      <c r="D97" s="310"/>
      <c r="E97" s="309"/>
      <c r="F97" s="309"/>
      <c r="G97" s="314"/>
      <c r="H97" s="314"/>
      <c r="I97" s="314"/>
      <c r="J97" s="313"/>
    </row>
    <row r="98" spans="1:10" ht="27">
      <c r="A98" s="332"/>
      <c r="B98" s="303"/>
      <c r="C98" s="303"/>
      <c r="D98" s="319" t="s">
        <v>492</v>
      </c>
      <c r="E98" s="303"/>
      <c r="F98" s="303"/>
      <c r="G98" s="320"/>
      <c r="H98" s="320"/>
      <c r="I98" s="320">
        <f>SUM(I99:I102)</f>
        <v>46.59</v>
      </c>
      <c r="J98" s="321">
        <f>SUM(J99:J102)</f>
        <v>24.296847999999997</v>
      </c>
    </row>
    <row r="99" spans="1:10" s="339" customFormat="1" ht="27">
      <c r="A99" s="335"/>
      <c r="B99" s="336" t="s">
        <v>439</v>
      </c>
      <c r="C99" s="336">
        <v>38076</v>
      </c>
      <c r="D99" s="310" t="s">
        <v>585</v>
      </c>
      <c r="E99" s="336" t="s">
        <v>44</v>
      </c>
      <c r="F99" s="336">
        <v>1</v>
      </c>
      <c r="G99" s="356">
        <v>18.600000000000001</v>
      </c>
      <c r="H99" s="337"/>
      <c r="I99" s="314">
        <f>F99*G99</f>
        <v>18.600000000000001</v>
      </c>
      <c r="J99" s="338"/>
    </row>
    <row r="100" spans="1:10" s="339" customFormat="1" ht="67.5">
      <c r="A100" s="335"/>
      <c r="B100" s="336" t="s">
        <v>488</v>
      </c>
      <c r="C100" s="336" t="s">
        <v>743</v>
      </c>
      <c r="D100" s="310" t="s">
        <v>684</v>
      </c>
      <c r="E100" s="336" t="s">
        <v>44</v>
      </c>
      <c r="F100" s="336">
        <v>1</v>
      </c>
      <c r="G100" s="358">
        <f>VLOOKUP(C100,'Fonte Cotação'!B:E,3,0)</f>
        <v>27.99</v>
      </c>
      <c r="H100" s="337"/>
      <c r="I100" s="314">
        <f>F100*G100</f>
        <v>27.99</v>
      </c>
      <c r="J100" s="338"/>
    </row>
    <row r="101" spans="1:10" ht="27">
      <c r="A101" s="327"/>
      <c r="B101" s="309" t="s">
        <v>471</v>
      </c>
      <c r="C101" s="309">
        <v>1</v>
      </c>
      <c r="D101" s="310" t="str">
        <f>$D$25</f>
        <v>Eletricista com encargos complementares e adicional de periculosidade</v>
      </c>
      <c r="E101" s="309" t="s">
        <v>82</v>
      </c>
      <c r="F101" s="309">
        <v>0.60299999999999998</v>
      </c>
      <c r="G101" s="311"/>
      <c r="H101" s="311">
        <f>$J$25</f>
        <v>25.201999999999998</v>
      </c>
      <c r="I101" s="314">
        <f>F101*G101</f>
        <v>0</v>
      </c>
      <c r="J101" s="313">
        <f>F101*H101</f>
        <v>15.196805999999999</v>
      </c>
    </row>
    <row r="102" spans="1:10" ht="27">
      <c r="A102" s="327"/>
      <c r="B102" s="309" t="s">
        <v>471</v>
      </c>
      <c r="C102" s="309">
        <v>2</v>
      </c>
      <c r="D102" s="310" t="str">
        <f>$D$37</f>
        <v>Auxiliar de eletricista com encargos complementares e adicional de periculosidade</v>
      </c>
      <c r="E102" s="309" t="s">
        <v>82</v>
      </c>
      <c r="F102" s="309">
        <v>0.47899999999999998</v>
      </c>
      <c r="G102" s="311"/>
      <c r="H102" s="311">
        <f>$J$37</f>
        <v>18.998000000000001</v>
      </c>
      <c r="I102" s="314">
        <f>F102*G102</f>
        <v>0</v>
      </c>
      <c r="J102" s="313">
        <f>F102*H102</f>
        <v>9.1000420000000002</v>
      </c>
    </row>
    <row r="103" spans="1:10">
      <c r="A103" s="327"/>
      <c r="B103" s="309"/>
      <c r="C103" s="309"/>
      <c r="D103" s="310"/>
      <c r="E103" s="309"/>
      <c r="F103" s="309"/>
      <c r="G103" s="311"/>
      <c r="H103" s="311"/>
      <c r="I103" s="314"/>
      <c r="J103" s="313"/>
    </row>
    <row r="104" spans="1:10">
      <c r="A104" s="297" t="s">
        <v>494</v>
      </c>
      <c r="B104" s="309"/>
      <c r="C104" s="309"/>
      <c r="D104" s="310"/>
      <c r="E104" s="309"/>
      <c r="F104" s="309"/>
      <c r="G104" s="314"/>
      <c r="H104" s="314"/>
      <c r="I104" s="314"/>
      <c r="J104" s="313"/>
    </row>
    <row r="105" spans="1:10" ht="27">
      <c r="A105" s="332"/>
      <c r="B105" s="303"/>
      <c r="C105" s="303"/>
      <c r="D105" s="319" t="s">
        <v>495</v>
      </c>
      <c r="E105" s="303"/>
      <c r="F105" s="303"/>
      <c r="G105" s="320"/>
      <c r="H105" s="320"/>
      <c r="I105" s="320">
        <f>SUM(I106:I109)</f>
        <v>65.25</v>
      </c>
      <c r="J105" s="321">
        <f>SUM(J106:J109)</f>
        <v>7.6510200000000008</v>
      </c>
    </row>
    <row r="106" spans="1:10" s="339" customFormat="1" ht="27">
      <c r="A106" s="335"/>
      <c r="B106" s="336" t="s">
        <v>439</v>
      </c>
      <c r="C106" s="336">
        <v>38083</v>
      </c>
      <c r="D106" s="310" t="s">
        <v>587</v>
      </c>
      <c r="E106" s="336" t="s">
        <v>44</v>
      </c>
      <c r="F106" s="336">
        <v>1</v>
      </c>
      <c r="G106" s="358">
        <v>37.26</v>
      </c>
      <c r="H106" s="337"/>
      <c r="I106" s="314">
        <f>F106*G106</f>
        <v>37.26</v>
      </c>
      <c r="J106" s="338"/>
    </row>
    <row r="107" spans="1:10" s="339" customFormat="1" ht="67.5">
      <c r="A107" s="335"/>
      <c r="B107" s="336" t="s">
        <v>488</v>
      </c>
      <c r="C107" s="336" t="str">
        <f>$C$100</f>
        <v>Cotação 19</v>
      </c>
      <c r="D107" s="310" t="s">
        <v>493</v>
      </c>
      <c r="E107" s="336" t="s">
        <v>44</v>
      </c>
      <c r="F107" s="336">
        <v>1</v>
      </c>
      <c r="G107" s="337">
        <f>$G$100</f>
        <v>27.99</v>
      </c>
      <c r="H107" s="337"/>
      <c r="I107" s="314">
        <f>F107*G107</f>
        <v>27.99</v>
      </c>
      <c r="J107" s="338"/>
    </row>
    <row r="108" spans="1:10" ht="27">
      <c r="A108" s="327"/>
      <c r="B108" s="309" t="s">
        <v>471</v>
      </c>
      <c r="C108" s="309">
        <v>1</v>
      </c>
      <c r="D108" s="310" t="str">
        <f>$D$25</f>
        <v>Eletricista com encargos complementares e adicional de periculosidade</v>
      </c>
      <c r="E108" s="309" t="s">
        <v>82</v>
      </c>
      <c r="F108" s="309">
        <f>F181+F299</f>
        <v>0.1731</v>
      </c>
      <c r="G108" s="311"/>
      <c r="H108" s="311">
        <f>$J$25</f>
        <v>25.201999999999998</v>
      </c>
      <c r="I108" s="314">
        <f>F108*G108</f>
        <v>0</v>
      </c>
      <c r="J108" s="313">
        <f>F108*H108</f>
        <v>4.3624662000000001</v>
      </c>
    </row>
    <row r="109" spans="1:10" ht="27">
      <c r="A109" s="327"/>
      <c r="B109" s="309" t="s">
        <v>471</v>
      </c>
      <c r="C109" s="309">
        <v>2</v>
      </c>
      <c r="D109" s="310" t="str">
        <f>$D$37</f>
        <v>Auxiliar de eletricista com encargos complementares e adicional de periculosidade</v>
      </c>
      <c r="E109" s="309" t="s">
        <v>82</v>
      </c>
      <c r="F109" s="309">
        <f>F182+F299</f>
        <v>0.1731</v>
      </c>
      <c r="G109" s="311"/>
      <c r="H109" s="311">
        <f>$J$37</f>
        <v>18.998000000000001</v>
      </c>
      <c r="I109" s="314">
        <f>F109*G109</f>
        <v>0</v>
      </c>
      <c r="J109" s="313">
        <f>F109*H109</f>
        <v>3.2885538000000003</v>
      </c>
    </row>
    <row r="110" spans="1:10">
      <c r="A110" s="327"/>
      <c r="B110" s="309"/>
      <c r="C110" s="309"/>
      <c r="D110" s="310"/>
      <c r="E110" s="309"/>
      <c r="F110" s="309"/>
      <c r="G110" s="311"/>
      <c r="H110" s="311"/>
      <c r="I110" s="314"/>
      <c r="J110" s="313"/>
    </row>
    <row r="111" spans="1:10">
      <c r="A111" s="297" t="s">
        <v>496</v>
      </c>
      <c r="B111" s="309"/>
      <c r="C111" s="309"/>
      <c r="D111" s="310"/>
      <c r="E111" s="309"/>
      <c r="F111" s="309"/>
      <c r="G111" s="314"/>
      <c r="H111" s="314"/>
      <c r="I111" s="314"/>
      <c r="J111" s="313"/>
    </row>
    <row r="112" spans="1:10" ht="27">
      <c r="A112" s="332"/>
      <c r="B112" s="303"/>
      <c r="C112" s="303"/>
      <c r="D112" s="319" t="s">
        <v>497</v>
      </c>
      <c r="E112" s="303"/>
      <c r="F112" s="303"/>
      <c r="G112" s="320"/>
      <c r="H112" s="320"/>
      <c r="I112" s="320">
        <f>SUM(I113:I116)</f>
        <v>98.809999999999988</v>
      </c>
      <c r="J112" s="321">
        <f>SUM(J113:J116)</f>
        <v>12.20804</v>
      </c>
    </row>
    <row r="113" spans="1:10" s="339" customFormat="1" ht="40.5">
      <c r="A113" s="335"/>
      <c r="B113" s="336" t="s">
        <v>471</v>
      </c>
      <c r="C113" s="336">
        <v>79</v>
      </c>
      <c r="D113" s="310" t="s">
        <v>498</v>
      </c>
      <c r="E113" s="336" t="s">
        <v>44</v>
      </c>
      <c r="F113" s="336">
        <v>1</v>
      </c>
      <c r="G113" s="337">
        <f>$I$185</f>
        <v>70.819999999999993</v>
      </c>
      <c r="H113" s="337"/>
      <c r="I113" s="314">
        <f>F113*G113</f>
        <v>70.819999999999993</v>
      </c>
      <c r="J113" s="338"/>
    </row>
    <row r="114" spans="1:10" s="339" customFormat="1" ht="67.5">
      <c r="A114" s="335"/>
      <c r="B114" s="336" t="s">
        <v>488</v>
      </c>
      <c r="C114" s="336" t="str">
        <f>$C$100</f>
        <v>Cotação 19</v>
      </c>
      <c r="D114" s="310" t="s">
        <v>493</v>
      </c>
      <c r="E114" s="336" t="s">
        <v>44</v>
      </c>
      <c r="F114" s="336">
        <v>1</v>
      </c>
      <c r="G114" s="337">
        <f>$G$100</f>
        <v>27.99</v>
      </c>
      <c r="H114" s="337"/>
      <c r="I114" s="314">
        <f>F114*G114</f>
        <v>27.99</v>
      </c>
      <c r="J114" s="338"/>
    </row>
    <row r="115" spans="1:10" ht="27">
      <c r="A115" s="327"/>
      <c r="B115" s="309" t="s">
        <v>471</v>
      </c>
      <c r="C115" s="309">
        <v>1</v>
      </c>
      <c r="D115" s="310" t="str">
        <f>$D$25</f>
        <v>Eletricista com encargos complementares e adicional de periculosidade</v>
      </c>
      <c r="E115" s="309" t="s">
        <v>82</v>
      </c>
      <c r="F115" s="309">
        <f>F299+F188</f>
        <v>0.2762</v>
      </c>
      <c r="G115" s="311"/>
      <c r="H115" s="311">
        <f>$J$25</f>
        <v>25.201999999999998</v>
      </c>
      <c r="I115" s="314">
        <f>F115*G115</f>
        <v>0</v>
      </c>
      <c r="J115" s="313">
        <f>F115*H115</f>
        <v>6.9607923999999999</v>
      </c>
    </row>
    <row r="116" spans="1:10" ht="27">
      <c r="A116" s="327"/>
      <c r="B116" s="309" t="s">
        <v>471</v>
      </c>
      <c r="C116" s="309">
        <v>2</v>
      </c>
      <c r="D116" s="310" t="str">
        <f>$D$37</f>
        <v>Auxiliar de eletricista com encargos complementares e adicional de periculosidade</v>
      </c>
      <c r="E116" s="309" t="s">
        <v>82</v>
      </c>
      <c r="F116" s="309">
        <f>F299+F189</f>
        <v>0.2762</v>
      </c>
      <c r="G116" s="311"/>
      <c r="H116" s="311">
        <f>$J$37</f>
        <v>18.998000000000001</v>
      </c>
      <c r="I116" s="314">
        <f>F116*G116</f>
        <v>0</v>
      </c>
      <c r="J116" s="313">
        <f>F116*H116</f>
        <v>5.2472476000000006</v>
      </c>
    </row>
    <row r="117" spans="1:10">
      <c r="A117" s="327"/>
      <c r="B117" s="309"/>
      <c r="C117" s="309"/>
      <c r="D117" s="310"/>
      <c r="E117" s="309"/>
      <c r="F117" s="309"/>
      <c r="G117" s="311"/>
      <c r="H117" s="311"/>
      <c r="I117" s="314"/>
      <c r="J117" s="313"/>
    </row>
    <row r="118" spans="1:10">
      <c r="A118" s="297" t="s">
        <v>499</v>
      </c>
      <c r="B118" s="309"/>
      <c r="C118" s="309"/>
      <c r="D118" s="340"/>
      <c r="E118" s="309"/>
      <c r="F118" s="309"/>
      <c r="G118" s="311"/>
      <c r="H118" s="311"/>
      <c r="I118" s="311"/>
      <c r="J118" s="333"/>
    </row>
    <row r="119" spans="1:10" ht="40.5">
      <c r="A119" s="341"/>
      <c r="B119" s="303" t="s">
        <v>439</v>
      </c>
      <c r="C119" s="303">
        <v>91953</v>
      </c>
      <c r="D119" s="319" t="s">
        <v>500</v>
      </c>
      <c r="E119" s="303" t="s">
        <v>44</v>
      </c>
      <c r="F119" s="303">
        <v>1</v>
      </c>
      <c r="G119" s="320"/>
      <c r="H119" s="320"/>
      <c r="I119" s="320">
        <f>SUM(I120:I122)</f>
        <v>7.35</v>
      </c>
      <c r="J119" s="321">
        <f>SUM(J120:J122)</f>
        <v>9.9450000000000003</v>
      </c>
    </row>
    <row r="120" spans="1:10" s="357" customFormat="1" ht="27">
      <c r="A120" s="297"/>
      <c r="B120" s="309" t="s">
        <v>439</v>
      </c>
      <c r="C120" s="309">
        <v>38062</v>
      </c>
      <c r="D120" s="310" t="s">
        <v>591</v>
      </c>
      <c r="E120" s="309" t="s">
        <v>44</v>
      </c>
      <c r="F120" s="309">
        <v>1</v>
      </c>
      <c r="G120" s="315">
        <v>7.35</v>
      </c>
      <c r="H120" s="314"/>
      <c r="I120" s="314">
        <f>F120*G120</f>
        <v>7.35</v>
      </c>
      <c r="J120" s="313">
        <f>F120*H120</f>
        <v>0</v>
      </c>
    </row>
    <row r="121" spans="1:10" ht="27">
      <c r="A121" s="327"/>
      <c r="B121" s="309" t="s">
        <v>471</v>
      </c>
      <c r="C121" s="309">
        <v>1</v>
      </c>
      <c r="D121" s="310" t="str">
        <f>$D$25</f>
        <v>Eletricista com encargos complementares e adicional de periculosidade</v>
      </c>
      <c r="E121" s="309" t="s">
        <v>82</v>
      </c>
      <c r="F121" s="309">
        <f>0+0.225</f>
        <v>0.22500000000000001</v>
      </c>
      <c r="G121" s="314"/>
      <c r="H121" s="311">
        <f>$J$25</f>
        <v>25.201999999999998</v>
      </c>
      <c r="I121" s="314">
        <f>F121*G121</f>
        <v>0</v>
      </c>
      <c r="J121" s="313">
        <f>F121*H121</f>
        <v>5.6704499999999998</v>
      </c>
    </row>
    <row r="122" spans="1:10" ht="27">
      <c r="A122" s="327"/>
      <c r="B122" s="309" t="s">
        <v>471</v>
      </c>
      <c r="C122" s="309">
        <v>2</v>
      </c>
      <c r="D122" s="310" t="str">
        <f>$D$37</f>
        <v>Auxiliar de eletricista com encargos complementares e adicional de periculosidade</v>
      </c>
      <c r="E122" s="309" t="s">
        <v>82</v>
      </c>
      <c r="F122" s="309">
        <f>0+0.225</f>
        <v>0.22500000000000001</v>
      </c>
      <c r="G122" s="314"/>
      <c r="H122" s="311">
        <f>$J$37</f>
        <v>18.998000000000001</v>
      </c>
      <c r="I122" s="314">
        <f>F122*G122</f>
        <v>0</v>
      </c>
      <c r="J122" s="313">
        <f>F122*H122</f>
        <v>4.2745500000000005</v>
      </c>
    </row>
    <row r="123" spans="1:10">
      <c r="A123" s="335"/>
      <c r="B123" s="309"/>
      <c r="C123" s="309"/>
      <c r="D123" s="310"/>
      <c r="E123" s="309"/>
      <c r="F123" s="309"/>
      <c r="G123" s="311"/>
      <c r="H123" s="311"/>
      <c r="I123" s="311"/>
      <c r="J123" s="333"/>
    </row>
    <row r="124" spans="1:10">
      <c r="A124" s="297" t="s">
        <v>501</v>
      </c>
      <c r="B124" s="309"/>
      <c r="C124" s="309"/>
      <c r="D124" s="340"/>
      <c r="E124" s="309"/>
      <c r="F124" s="309"/>
      <c r="G124" s="311"/>
      <c r="H124" s="311"/>
      <c r="I124" s="311"/>
      <c r="J124" s="333"/>
    </row>
    <row r="125" spans="1:10" ht="40.5">
      <c r="A125" s="341"/>
      <c r="B125" s="303" t="s">
        <v>439</v>
      </c>
      <c r="C125" s="303">
        <v>91959</v>
      </c>
      <c r="D125" s="319" t="s">
        <v>502</v>
      </c>
      <c r="E125" s="303" t="s">
        <v>44</v>
      </c>
      <c r="F125" s="303">
        <v>1</v>
      </c>
      <c r="G125" s="320"/>
      <c r="H125" s="320"/>
      <c r="I125" s="320">
        <f>SUM(I126:I128)</f>
        <v>15.1</v>
      </c>
      <c r="J125" s="321">
        <f>SUM(J126:J128)</f>
        <v>17.238</v>
      </c>
    </row>
    <row r="126" spans="1:10" s="357" customFormat="1" ht="27">
      <c r="A126" s="297"/>
      <c r="B126" s="309" t="s">
        <v>439</v>
      </c>
      <c r="C126" s="309">
        <v>38068</v>
      </c>
      <c r="D126" s="310" t="s">
        <v>671</v>
      </c>
      <c r="E126" s="309" t="s">
        <v>44</v>
      </c>
      <c r="F126" s="309">
        <v>1</v>
      </c>
      <c r="G126" s="315">
        <v>15.1</v>
      </c>
      <c r="H126" s="314"/>
      <c r="I126" s="314">
        <f>F126*G126</f>
        <v>15.1</v>
      </c>
      <c r="J126" s="313">
        <f>F126*H126</f>
        <v>0</v>
      </c>
    </row>
    <row r="127" spans="1:10" ht="27">
      <c r="A127" s="327"/>
      <c r="B127" s="309" t="s">
        <v>471</v>
      </c>
      <c r="C127" s="309">
        <v>1</v>
      </c>
      <c r="D127" s="310" t="str">
        <f>$D$25</f>
        <v>Eletricista com encargos complementares e adicional de periculosidade</v>
      </c>
      <c r="E127" s="309" t="s">
        <v>82</v>
      </c>
      <c r="F127" s="309">
        <f>0+0.39</f>
        <v>0.39</v>
      </c>
      <c r="G127" s="314"/>
      <c r="H127" s="311">
        <f>$J$25</f>
        <v>25.201999999999998</v>
      </c>
      <c r="I127" s="314">
        <f>F127*G127</f>
        <v>0</v>
      </c>
      <c r="J127" s="313">
        <f>F127*H127</f>
        <v>9.8287800000000001</v>
      </c>
    </row>
    <row r="128" spans="1:10" ht="27">
      <c r="A128" s="327"/>
      <c r="B128" s="309" t="s">
        <v>471</v>
      </c>
      <c r="C128" s="309">
        <v>2</v>
      </c>
      <c r="D128" s="310" t="str">
        <f>$D$37</f>
        <v>Auxiliar de eletricista com encargos complementares e adicional de periculosidade</v>
      </c>
      <c r="E128" s="309" t="s">
        <v>82</v>
      </c>
      <c r="F128" s="309">
        <f>0+0.39</f>
        <v>0.39</v>
      </c>
      <c r="G128" s="314"/>
      <c r="H128" s="311">
        <f>$J$37</f>
        <v>18.998000000000001</v>
      </c>
      <c r="I128" s="314">
        <f>F128*G128</f>
        <v>0</v>
      </c>
      <c r="J128" s="313">
        <f>F128*H128</f>
        <v>7.4092200000000004</v>
      </c>
    </row>
    <row r="129" spans="1:10">
      <c r="A129" s="327"/>
      <c r="B129" s="309"/>
      <c r="C129" s="309"/>
      <c r="D129" s="342"/>
      <c r="E129" s="309"/>
      <c r="F129" s="309"/>
      <c r="G129" s="309"/>
      <c r="H129" s="309"/>
      <c r="I129" s="309"/>
      <c r="J129" s="343"/>
    </row>
    <row r="130" spans="1:10">
      <c r="A130" s="297" t="s">
        <v>503</v>
      </c>
      <c r="B130" s="309"/>
      <c r="C130" s="309"/>
      <c r="D130" s="340"/>
      <c r="E130" s="309"/>
      <c r="F130" s="309"/>
      <c r="G130" s="309"/>
      <c r="H130" s="309"/>
      <c r="I130" s="309"/>
      <c r="J130" s="343"/>
    </row>
    <row r="131" spans="1:10" ht="40.5">
      <c r="A131" s="332"/>
      <c r="B131" s="303" t="s">
        <v>439</v>
      </c>
      <c r="C131" s="303">
        <v>91967</v>
      </c>
      <c r="D131" s="319" t="s">
        <v>504</v>
      </c>
      <c r="E131" s="303" t="s">
        <v>44</v>
      </c>
      <c r="F131" s="303"/>
      <c r="G131" s="320"/>
      <c r="H131" s="320"/>
      <c r="I131" s="320">
        <f>SUM(I132:I134)</f>
        <v>18.05</v>
      </c>
      <c r="J131" s="321">
        <f>SUM(J132:J134)</f>
        <v>24.530999999999999</v>
      </c>
    </row>
    <row r="132" spans="1:10" s="357" customFormat="1" ht="27">
      <c r="A132" s="327"/>
      <c r="B132" s="309" t="s">
        <v>439</v>
      </c>
      <c r="C132" s="309">
        <v>38071</v>
      </c>
      <c r="D132" s="310" t="s">
        <v>670</v>
      </c>
      <c r="E132" s="309" t="s">
        <v>44</v>
      </c>
      <c r="F132" s="309">
        <v>1</v>
      </c>
      <c r="G132" s="315">
        <v>18.05</v>
      </c>
      <c r="H132" s="314"/>
      <c r="I132" s="314">
        <f>F132*G132</f>
        <v>18.05</v>
      </c>
      <c r="J132" s="313">
        <f>F132*H132</f>
        <v>0</v>
      </c>
    </row>
    <row r="133" spans="1:10" ht="27">
      <c r="A133" s="327"/>
      <c r="B133" s="309" t="s">
        <v>471</v>
      </c>
      <c r="C133" s="309">
        <v>1</v>
      </c>
      <c r="D133" s="310" t="str">
        <f>$D$25</f>
        <v>Eletricista com encargos complementares e adicional de periculosidade</v>
      </c>
      <c r="E133" s="309" t="s">
        <v>82</v>
      </c>
      <c r="F133" s="309">
        <f>0+0.555</f>
        <v>0.55500000000000005</v>
      </c>
      <c r="G133" s="314"/>
      <c r="H133" s="311">
        <f>$J$25</f>
        <v>25.201999999999998</v>
      </c>
      <c r="I133" s="314">
        <f>F133*G133</f>
        <v>0</v>
      </c>
      <c r="J133" s="313">
        <f>F133*H133</f>
        <v>13.987109999999999</v>
      </c>
    </row>
    <row r="134" spans="1:10" ht="27">
      <c r="A134" s="327"/>
      <c r="B134" s="309" t="s">
        <v>471</v>
      </c>
      <c r="C134" s="309">
        <v>2</v>
      </c>
      <c r="D134" s="310" t="str">
        <f>$D$37</f>
        <v>Auxiliar de eletricista com encargos complementares e adicional de periculosidade</v>
      </c>
      <c r="E134" s="309" t="s">
        <v>82</v>
      </c>
      <c r="F134" s="309">
        <f>0+0.555</f>
        <v>0.55500000000000005</v>
      </c>
      <c r="G134" s="314"/>
      <c r="H134" s="311">
        <f>$J$37</f>
        <v>18.998000000000001</v>
      </c>
      <c r="I134" s="314">
        <f>F134*G134</f>
        <v>0</v>
      </c>
      <c r="J134" s="313">
        <f>F134*H134</f>
        <v>10.543890000000001</v>
      </c>
    </row>
    <row r="135" spans="1:10">
      <c r="A135" s="327"/>
      <c r="B135" s="324"/>
      <c r="C135" s="344"/>
      <c r="D135" s="340"/>
      <c r="E135" s="324"/>
      <c r="F135" s="324"/>
      <c r="G135" s="345"/>
      <c r="H135" s="345"/>
      <c r="I135" s="345"/>
      <c r="J135" s="346"/>
    </row>
    <row r="136" spans="1:10">
      <c r="A136" s="297" t="s">
        <v>505</v>
      </c>
      <c r="B136" s="309"/>
      <c r="C136" s="309"/>
      <c r="D136" s="340"/>
      <c r="E136" s="309"/>
      <c r="F136" s="309"/>
      <c r="G136" s="309"/>
      <c r="H136" s="309"/>
      <c r="I136" s="309"/>
      <c r="J136" s="343"/>
    </row>
    <row r="137" spans="1:10" ht="27">
      <c r="A137" s="332"/>
      <c r="B137" s="303" t="s">
        <v>439</v>
      </c>
      <c r="C137" s="303">
        <v>91952</v>
      </c>
      <c r="D137" s="319" t="s">
        <v>506</v>
      </c>
      <c r="E137" s="303" t="s">
        <v>44</v>
      </c>
      <c r="F137" s="303"/>
      <c r="G137" s="320"/>
      <c r="H137" s="320"/>
      <c r="I137" s="320">
        <f>SUM(I138:I140)</f>
        <v>7.16</v>
      </c>
      <c r="J137" s="321">
        <f>SUM(J138:J140)</f>
        <v>9.9450000000000003</v>
      </c>
    </row>
    <row r="138" spans="1:10" s="357" customFormat="1">
      <c r="A138" s="327"/>
      <c r="B138" s="309" t="s">
        <v>439</v>
      </c>
      <c r="C138" s="309">
        <v>38112</v>
      </c>
      <c r="D138" s="310" t="s">
        <v>672</v>
      </c>
      <c r="E138" s="309" t="s">
        <v>44</v>
      </c>
      <c r="F138" s="309">
        <v>1</v>
      </c>
      <c r="G138" s="315">
        <v>7.16</v>
      </c>
      <c r="H138" s="314"/>
      <c r="I138" s="314">
        <f>F138*G138</f>
        <v>7.16</v>
      </c>
      <c r="J138" s="313">
        <f>F138*H138</f>
        <v>0</v>
      </c>
    </row>
    <row r="139" spans="1:10" ht="27">
      <c r="A139" s="327"/>
      <c r="B139" s="309" t="s">
        <v>471</v>
      </c>
      <c r="C139" s="309">
        <v>1</v>
      </c>
      <c r="D139" s="310" t="str">
        <f>$D$25</f>
        <v>Eletricista com encargos complementares e adicional de periculosidade</v>
      </c>
      <c r="E139" s="309" t="s">
        <v>82</v>
      </c>
      <c r="F139" s="309">
        <v>0.22500000000000001</v>
      </c>
      <c r="G139" s="314"/>
      <c r="H139" s="311">
        <f>$J$25</f>
        <v>25.201999999999998</v>
      </c>
      <c r="I139" s="314">
        <f>F139*G139</f>
        <v>0</v>
      </c>
      <c r="J139" s="313">
        <f>F139*H139</f>
        <v>5.6704499999999998</v>
      </c>
    </row>
    <row r="140" spans="1:10" ht="27">
      <c r="A140" s="327"/>
      <c r="B140" s="309" t="s">
        <v>471</v>
      </c>
      <c r="C140" s="309">
        <v>2</v>
      </c>
      <c r="D140" s="310" t="str">
        <f>$D$37</f>
        <v>Auxiliar de eletricista com encargos complementares e adicional de periculosidade</v>
      </c>
      <c r="E140" s="309" t="s">
        <v>82</v>
      </c>
      <c r="F140" s="309">
        <v>0.22500000000000001</v>
      </c>
      <c r="G140" s="314"/>
      <c r="H140" s="311">
        <f>$J$37</f>
        <v>18.998000000000001</v>
      </c>
      <c r="I140" s="314">
        <f>F140*G140</f>
        <v>0</v>
      </c>
      <c r="J140" s="313">
        <f>F140*H140</f>
        <v>4.2745500000000005</v>
      </c>
    </row>
    <row r="141" spans="1:10">
      <c r="A141" s="327"/>
      <c r="B141" s="324"/>
      <c r="C141" s="344"/>
      <c r="D141" s="340"/>
      <c r="E141" s="324"/>
      <c r="F141" s="324"/>
      <c r="G141" s="345"/>
      <c r="H141" s="345"/>
      <c r="I141" s="345"/>
      <c r="J141" s="346"/>
    </row>
    <row r="142" spans="1:10">
      <c r="A142" s="297" t="s">
        <v>508</v>
      </c>
      <c r="B142" s="309"/>
      <c r="C142" s="309"/>
      <c r="D142" s="340"/>
      <c r="E142" s="309"/>
      <c r="F142" s="309"/>
      <c r="G142" s="314"/>
      <c r="H142" s="314"/>
      <c r="I142" s="314"/>
      <c r="J142" s="313"/>
    </row>
    <row r="143" spans="1:10" ht="54">
      <c r="A143" s="332"/>
      <c r="B143" s="303" t="s">
        <v>439</v>
      </c>
      <c r="C143" s="303">
        <v>93043</v>
      </c>
      <c r="D143" s="319" t="s">
        <v>509</v>
      </c>
      <c r="E143" s="303" t="s">
        <v>507</v>
      </c>
      <c r="F143" s="303">
        <v>1</v>
      </c>
      <c r="G143" s="320"/>
      <c r="H143" s="320"/>
      <c r="I143" s="320">
        <f>SUM(I144:I145)</f>
        <v>12.82</v>
      </c>
      <c r="J143" s="321">
        <f>SUM(J144:J145)</f>
        <v>1.8998000000000002</v>
      </c>
    </row>
    <row r="144" spans="1:10">
      <c r="A144" s="335"/>
      <c r="B144" s="309" t="s">
        <v>439</v>
      </c>
      <c r="C144" s="309">
        <v>39386</v>
      </c>
      <c r="D144" s="310" t="s">
        <v>510</v>
      </c>
      <c r="E144" s="309" t="s">
        <v>44</v>
      </c>
      <c r="F144" s="309">
        <v>1</v>
      </c>
      <c r="G144" s="315">
        <v>12.82</v>
      </c>
      <c r="H144" s="314"/>
      <c r="I144" s="314">
        <f>F144*G144</f>
        <v>12.82</v>
      </c>
      <c r="J144" s="313"/>
    </row>
    <row r="145" spans="1:10" ht="27">
      <c r="A145" s="335"/>
      <c r="B145" s="309" t="s">
        <v>471</v>
      </c>
      <c r="C145" s="309">
        <v>2</v>
      </c>
      <c r="D145" s="310" t="str">
        <f>$D$37</f>
        <v>Auxiliar de eletricista com encargos complementares e adicional de periculosidade</v>
      </c>
      <c r="E145" s="309" t="s">
        <v>82</v>
      </c>
      <c r="F145" s="309">
        <v>0.1</v>
      </c>
      <c r="G145" s="314"/>
      <c r="H145" s="311">
        <f>$J$37</f>
        <v>18.998000000000001</v>
      </c>
      <c r="I145" s="314">
        <f>F145*G145</f>
        <v>0</v>
      </c>
      <c r="J145" s="313">
        <f>F145*H145</f>
        <v>1.8998000000000002</v>
      </c>
    </row>
    <row r="146" spans="1:10">
      <c r="A146" s="335"/>
      <c r="B146" s="309"/>
      <c r="C146" s="309"/>
      <c r="D146" s="310"/>
      <c r="E146" s="309"/>
      <c r="F146" s="309"/>
      <c r="G146" s="314"/>
      <c r="H146" s="314"/>
      <c r="I146" s="314"/>
      <c r="J146" s="313"/>
    </row>
    <row r="147" spans="1:10">
      <c r="A147" s="297" t="s">
        <v>511</v>
      </c>
      <c r="B147" s="309"/>
      <c r="C147" s="309"/>
      <c r="D147" s="340"/>
      <c r="E147" s="309"/>
      <c r="F147" s="309"/>
      <c r="G147" s="314"/>
      <c r="H147" s="314"/>
      <c r="I147" s="314"/>
      <c r="J147" s="313"/>
    </row>
    <row r="148" spans="1:10" ht="54">
      <c r="A148" s="332"/>
      <c r="B148" s="303" t="s">
        <v>439</v>
      </c>
      <c r="C148" s="303">
        <v>93043</v>
      </c>
      <c r="D148" s="319" t="s">
        <v>512</v>
      </c>
      <c r="E148" s="303" t="s">
        <v>507</v>
      </c>
      <c r="F148" s="303">
        <v>1</v>
      </c>
      <c r="G148" s="320"/>
      <c r="H148" s="320"/>
      <c r="I148" s="320">
        <f>SUM(I149:I150)</f>
        <v>18.38</v>
      </c>
      <c r="J148" s="321">
        <f>SUM(J149:J150)</f>
        <v>1.8998000000000002</v>
      </c>
    </row>
    <row r="149" spans="1:10">
      <c r="A149" s="335"/>
      <c r="B149" s="309" t="s">
        <v>439</v>
      </c>
      <c r="C149" s="309">
        <v>39387</v>
      </c>
      <c r="D149" s="310" t="s">
        <v>513</v>
      </c>
      <c r="E149" s="309" t="s">
        <v>44</v>
      </c>
      <c r="F149" s="309">
        <v>1</v>
      </c>
      <c r="G149" s="315">
        <v>18.38</v>
      </c>
      <c r="H149" s="314"/>
      <c r="I149" s="314">
        <f>F149*G149</f>
        <v>18.38</v>
      </c>
      <c r="J149" s="313"/>
    </row>
    <row r="150" spans="1:10" ht="27">
      <c r="A150" s="335"/>
      <c r="B150" s="309" t="s">
        <v>471</v>
      </c>
      <c r="C150" s="309">
        <v>2</v>
      </c>
      <c r="D150" s="310" t="str">
        <f>$D$37</f>
        <v>Auxiliar de eletricista com encargos complementares e adicional de periculosidade</v>
      </c>
      <c r="E150" s="309" t="s">
        <v>82</v>
      </c>
      <c r="F150" s="309">
        <v>0.1</v>
      </c>
      <c r="G150" s="314"/>
      <c r="H150" s="311">
        <f>$J$37</f>
        <v>18.998000000000001</v>
      </c>
      <c r="I150" s="314">
        <f>F150*G150</f>
        <v>0</v>
      </c>
      <c r="J150" s="313">
        <f>F150*H150</f>
        <v>1.8998000000000002</v>
      </c>
    </row>
    <row r="151" spans="1:10">
      <c r="A151" s="335"/>
      <c r="B151" s="309"/>
      <c r="C151" s="309"/>
      <c r="D151" s="310"/>
      <c r="E151" s="309"/>
      <c r="F151" s="309"/>
      <c r="G151" s="311"/>
      <c r="H151" s="311"/>
      <c r="I151" s="311"/>
      <c r="J151" s="333"/>
    </row>
    <row r="152" spans="1:10">
      <c r="A152" s="297" t="s">
        <v>514</v>
      </c>
      <c r="B152" s="309"/>
      <c r="C152" s="309"/>
      <c r="D152" s="310"/>
      <c r="E152" s="309"/>
      <c r="F152" s="309"/>
      <c r="G152" s="311"/>
      <c r="H152" s="311"/>
      <c r="I152" s="311"/>
      <c r="J152" s="333"/>
    </row>
    <row r="153" spans="1:10" ht="40.5">
      <c r="A153" s="347"/>
      <c r="B153" s="303" t="s">
        <v>471</v>
      </c>
      <c r="C153" s="303"/>
      <c r="D153" s="319" t="s">
        <v>515</v>
      </c>
      <c r="E153" s="303" t="s">
        <v>44</v>
      </c>
      <c r="F153" s="303">
        <v>1</v>
      </c>
      <c r="G153" s="320"/>
      <c r="H153" s="320"/>
      <c r="I153" s="320">
        <f>SUM(I154:I157)</f>
        <v>52.07</v>
      </c>
      <c r="J153" s="321">
        <f>SUM(J154:J157)</f>
        <v>20.035210599999999</v>
      </c>
    </row>
    <row r="154" spans="1:10" ht="27">
      <c r="A154" s="327"/>
      <c r="B154" s="309" t="s">
        <v>488</v>
      </c>
      <c r="C154" s="309" t="s">
        <v>762</v>
      </c>
      <c r="D154" s="310" t="s">
        <v>516</v>
      </c>
      <c r="E154" s="309" t="s">
        <v>44</v>
      </c>
      <c r="F154" s="309">
        <v>1</v>
      </c>
      <c r="G154" s="315">
        <f>VLOOKUP(C154,'Fonte Cotação'!B:E,3,0)</f>
        <v>49</v>
      </c>
      <c r="H154" s="311"/>
      <c r="I154" s="314">
        <f>F154*G154</f>
        <v>49</v>
      </c>
      <c r="J154" s="313">
        <f>F154*H154</f>
        <v>0</v>
      </c>
    </row>
    <row r="155" spans="1:10">
      <c r="A155" s="327"/>
      <c r="B155" s="309" t="s">
        <v>439</v>
      </c>
      <c r="C155" s="309">
        <v>12295</v>
      </c>
      <c r="D155" s="310" t="s">
        <v>521</v>
      </c>
      <c r="E155" s="309" t="s">
        <v>44</v>
      </c>
      <c r="F155" s="309">
        <v>2</v>
      </c>
      <c r="G155" s="314"/>
      <c r="I155" s="312">
        <v>3.07</v>
      </c>
      <c r="J155" s="313">
        <f>F155*I155</f>
        <v>6.14</v>
      </c>
    </row>
    <row r="156" spans="1:10" ht="27">
      <c r="A156" s="327"/>
      <c r="B156" s="309" t="s">
        <v>471</v>
      </c>
      <c r="C156" s="309">
        <v>1</v>
      </c>
      <c r="D156" s="310" t="str">
        <f>$D$25</f>
        <v>Eletricista com encargos complementares e adicional de periculosidade</v>
      </c>
      <c r="E156" s="309" t="s">
        <v>82</v>
      </c>
      <c r="F156" s="309">
        <v>0.1963</v>
      </c>
      <c r="G156" s="314"/>
      <c r="H156" s="311">
        <f>$J$25</f>
        <v>25.201999999999998</v>
      </c>
      <c r="I156" s="314">
        <f>F156*G156</f>
        <v>0</v>
      </c>
      <c r="J156" s="313">
        <f>F156*H156</f>
        <v>4.9471525999999999</v>
      </c>
    </row>
    <row r="157" spans="1:10" ht="27">
      <c r="A157" s="327"/>
      <c r="B157" s="309" t="s">
        <v>471</v>
      </c>
      <c r="C157" s="309">
        <v>2</v>
      </c>
      <c r="D157" s="310" t="str">
        <f>$D$37</f>
        <v>Auxiliar de eletricista com encargos complementares e adicional de periculosidade</v>
      </c>
      <c r="E157" s="309" t="s">
        <v>82</v>
      </c>
      <c r="F157" s="309">
        <v>0.47099999999999997</v>
      </c>
      <c r="G157" s="314"/>
      <c r="H157" s="311">
        <f>$J$37</f>
        <v>18.998000000000001</v>
      </c>
      <c r="I157" s="314">
        <f>F157*G157</f>
        <v>0</v>
      </c>
      <c r="J157" s="313">
        <f>F157*H157</f>
        <v>8.9480579999999996</v>
      </c>
    </row>
    <row r="158" spans="1:10">
      <c r="A158" s="335"/>
      <c r="B158" s="309"/>
      <c r="C158" s="309"/>
      <c r="D158" s="310"/>
      <c r="E158" s="309"/>
      <c r="F158" s="309"/>
      <c r="G158" s="314"/>
      <c r="H158" s="314"/>
      <c r="I158" s="314"/>
      <c r="J158" s="313"/>
    </row>
    <row r="159" spans="1:10">
      <c r="A159" s="297" t="s">
        <v>517</v>
      </c>
      <c r="B159" s="309"/>
      <c r="C159" s="309"/>
      <c r="D159" s="310"/>
      <c r="E159" s="309"/>
      <c r="F159" s="309"/>
      <c r="G159" s="311"/>
      <c r="H159" s="311"/>
      <c r="I159" s="311"/>
      <c r="J159" s="333"/>
    </row>
    <row r="160" spans="1:10" ht="40.5">
      <c r="A160" s="347"/>
      <c r="B160" s="303" t="s">
        <v>471</v>
      </c>
      <c r="C160" s="303"/>
      <c r="D160" s="319" t="s">
        <v>518</v>
      </c>
      <c r="E160" s="303" t="s">
        <v>44</v>
      </c>
      <c r="F160" s="303">
        <v>1</v>
      </c>
      <c r="G160" s="320"/>
      <c r="H160" s="320"/>
      <c r="I160" s="320">
        <f>SUM(I161:I164)</f>
        <v>90.07</v>
      </c>
      <c r="J160" s="321">
        <f>SUM(J161:J164)</f>
        <v>20.035210599999999</v>
      </c>
    </row>
    <row r="161" spans="1:10" ht="27">
      <c r="A161" s="327"/>
      <c r="B161" s="309" t="s">
        <v>488</v>
      </c>
      <c r="C161" s="309" t="s">
        <v>763</v>
      </c>
      <c r="D161" s="310" t="s">
        <v>519</v>
      </c>
      <c r="E161" s="309" t="s">
        <v>44</v>
      </c>
      <c r="F161" s="309">
        <v>1</v>
      </c>
      <c r="G161" s="315">
        <f>VLOOKUP(C161,'Fonte Cotação'!B:E,3,0)</f>
        <v>87</v>
      </c>
      <c r="H161" s="311"/>
      <c r="I161" s="314">
        <f>F161*G161</f>
        <v>87</v>
      </c>
      <c r="J161" s="313">
        <f>F161*H161</f>
        <v>0</v>
      </c>
    </row>
    <row r="162" spans="1:10">
      <c r="A162" s="327"/>
      <c r="B162" s="309" t="s">
        <v>439</v>
      </c>
      <c r="C162" s="309">
        <v>12295</v>
      </c>
      <c r="D162" s="310" t="s">
        <v>521</v>
      </c>
      <c r="E162" s="309" t="s">
        <v>44</v>
      </c>
      <c r="F162" s="309">
        <v>2</v>
      </c>
      <c r="G162" s="314"/>
      <c r="I162" s="311">
        <f>$I$155</f>
        <v>3.07</v>
      </c>
      <c r="J162" s="313">
        <f>F162*I162</f>
        <v>6.14</v>
      </c>
    </row>
    <row r="163" spans="1:10" ht="27">
      <c r="A163" s="327"/>
      <c r="B163" s="309" t="s">
        <v>471</v>
      </c>
      <c r="C163" s="309">
        <v>1</v>
      </c>
      <c r="D163" s="310" t="str">
        <f>$D$25</f>
        <v>Eletricista com encargos complementares e adicional de periculosidade</v>
      </c>
      <c r="E163" s="309" t="s">
        <v>82</v>
      </c>
      <c r="F163" s="309">
        <v>0.1963</v>
      </c>
      <c r="G163" s="314"/>
      <c r="H163" s="311">
        <f>$J$25</f>
        <v>25.201999999999998</v>
      </c>
      <c r="I163" s="314">
        <f>F163*G163</f>
        <v>0</v>
      </c>
      <c r="J163" s="313">
        <f>F163*H163</f>
        <v>4.9471525999999999</v>
      </c>
    </row>
    <row r="164" spans="1:10" ht="27">
      <c r="A164" s="327"/>
      <c r="B164" s="309" t="s">
        <v>471</v>
      </c>
      <c r="C164" s="309">
        <v>2</v>
      </c>
      <c r="D164" s="310" t="str">
        <f>$D$37</f>
        <v>Auxiliar de eletricista com encargos complementares e adicional de periculosidade</v>
      </c>
      <c r="E164" s="309" t="s">
        <v>82</v>
      </c>
      <c r="F164" s="309">
        <v>0.47099999999999997</v>
      </c>
      <c r="G164" s="314"/>
      <c r="H164" s="311">
        <f>$J$37</f>
        <v>18.998000000000001</v>
      </c>
      <c r="I164" s="314">
        <f>F164*G164</f>
        <v>0</v>
      </c>
      <c r="J164" s="313">
        <f>F164*H164</f>
        <v>8.9480579999999996</v>
      </c>
    </row>
    <row r="165" spans="1:10">
      <c r="A165" s="327"/>
      <c r="B165" s="309"/>
      <c r="C165" s="309"/>
      <c r="D165" s="310"/>
      <c r="E165" s="309"/>
      <c r="F165" s="309"/>
      <c r="G165" s="314"/>
      <c r="H165" s="311"/>
      <c r="I165" s="314"/>
      <c r="J165" s="313"/>
    </row>
    <row r="166" spans="1:10">
      <c r="A166" s="367" t="s">
        <v>520</v>
      </c>
      <c r="B166" s="364"/>
      <c r="C166" s="364"/>
      <c r="D166" s="366"/>
      <c r="E166" s="364"/>
      <c r="F166" s="364"/>
      <c r="G166" s="311"/>
      <c r="H166" s="311"/>
      <c r="I166" s="311"/>
      <c r="J166" s="333"/>
    </row>
    <row r="167" spans="1:10" ht="27">
      <c r="A167" s="368"/>
      <c r="B167" s="361" t="s">
        <v>439</v>
      </c>
      <c r="C167" s="361">
        <v>97587</v>
      </c>
      <c r="D167" s="362" t="s">
        <v>686</v>
      </c>
      <c r="E167" s="361" t="s">
        <v>44</v>
      </c>
      <c r="F167" s="361">
        <v>1</v>
      </c>
      <c r="G167" s="320"/>
      <c r="H167" s="320"/>
      <c r="I167" s="320">
        <f>SUM(I168:I170)</f>
        <v>0</v>
      </c>
      <c r="J167" s="321">
        <f>SUM(J168:J170)</f>
        <v>18.955210600000001</v>
      </c>
    </row>
    <row r="168" spans="1:10">
      <c r="A168" s="363"/>
      <c r="B168" s="364" t="s">
        <v>439</v>
      </c>
      <c r="C168" s="364">
        <v>12295</v>
      </c>
      <c r="D168" s="365" t="s">
        <v>521</v>
      </c>
      <c r="E168" s="364" t="s">
        <v>44</v>
      </c>
      <c r="F168" s="364">
        <v>2</v>
      </c>
      <c r="G168" s="314"/>
      <c r="H168" s="312">
        <v>2.5299999999999998</v>
      </c>
      <c r="I168" s="314">
        <f>F168*G168</f>
        <v>0</v>
      </c>
      <c r="J168" s="313">
        <f>F168*H168</f>
        <v>5.0599999999999996</v>
      </c>
    </row>
    <row r="169" spans="1:10" ht="27">
      <c r="A169" s="363"/>
      <c r="B169" s="364" t="s">
        <v>471</v>
      </c>
      <c r="C169" s="364">
        <v>1</v>
      </c>
      <c r="D169" s="365" t="str">
        <f>$D$25</f>
        <v>Eletricista com encargos complementares e adicional de periculosidade</v>
      </c>
      <c r="E169" s="364" t="s">
        <v>82</v>
      </c>
      <c r="F169" s="364">
        <v>0.1963</v>
      </c>
      <c r="G169" s="314"/>
      <c r="H169" s="311">
        <f>$J$25</f>
        <v>25.201999999999998</v>
      </c>
      <c r="I169" s="314">
        <f>F169*G169</f>
        <v>0</v>
      </c>
      <c r="J169" s="313">
        <f>F169*H169</f>
        <v>4.9471525999999999</v>
      </c>
    </row>
    <row r="170" spans="1:10" ht="27">
      <c r="A170" s="369"/>
      <c r="B170" s="364" t="s">
        <v>471</v>
      </c>
      <c r="C170" s="364">
        <v>2</v>
      </c>
      <c r="D170" s="365" t="str">
        <f>$D$37</f>
        <v>Auxiliar de eletricista com encargos complementares e adicional de periculosidade</v>
      </c>
      <c r="E170" s="364" t="s">
        <v>82</v>
      </c>
      <c r="F170" s="364">
        <v>0.47099999999999997</v>
      </c>
      <c r="G170" s="314"/>
      <c r="H170" s="311">
        <f>$J$37</f>
        <v>18.998000000000001</v>
      </c>
      <c r="I170" s="314">
        <f>F170*G170</f>
        <v>0</v>
      </c>
      <c r="J170" s="313">
        <f>F170*H170</f>
        <v>8.9480579999999996</v>
      </c>
    </row>
    <row r="171" spans="1:10">
      <c r="A171" s="327"/>
      <c r="B171" s="309"/>
      <c r="C171" s="309"/>
      <c r="D171" s="310"/>
      <c r="E171" s="309"/>
      <c r="F171" s="309"/>
      <c r="G171" s="314"/>
      <c r="H171" s="311"/>
      <c r="I171" s="314"/>
      <c r="J171" s="313"/>
    </row>
    <row r="172" spans="1:10">
      <c r="A172" s="297" t="s">
        <v>522</v>
      </c>
      <c r="B172" s="298"/>
      <c r="C172" s="298"/>
      <c r="D172" s="299"/>
      <c r="E172" s="298"/>
      <c r="F172" s="298"/>
      <c r="G172" s="300"/>
      <c r="H172" s="300"/>
      <c r="I172" s="300"/>
      <c r="J172" s="301"/>
    </row>
    <row r="173" spans="1:10">
      <c r="A173" s="318"/>
      <c r="B173" s="303" t="s">
        <v>439</v>
      </c>
      <c r="C173" s="303">
        <v>98296</v>
      </c>
      <c r="D173" s="319" t="s">
        <v>611</v>
      </c>
      <c r="E173" s="303" t="s">
        <v>75</v>
      </c>
      <c r="F173" s="303">
        <v>1</v>
      </c>
      <c r="G173" s="349"/>
      <c r="H173" s="349"/>
      <c r="I173" s="320">
        <f>SUM(I174:I176)</f>
        <v>2.4569999999999999</v>
      </c>
      <c r="J173" s="350">
        <f>SUM(J174:J176)</f>
        <v>1.1889799999999999</v>
      </c>
    </row>
    <row r="174" spans="1:10">
      <c r="A174" s="348"/>
      <c r="B174" s="309" t="s">
        <v>439</v>
      </c>
      <c r="C174" s="309" t="s">
        <v>612</v>
      </c>
      <c r="D174" s="310" t="s">
        <v>613</v>
      </c>
      <c r="E174" s="309" t="s">
        <v>75</v>
      </c>
      <c r="F174" s="309">
        <v>1.05</v>
      </c>
      <c r="G174" s="353">
        <v>2.34</v>
      </c>
      <c r="H174" s="311"/>
      <c r="I174" s="314">
        <f t="shared" ref="I174" si="12">F174*G174</f>
        <v>2.4569999999999999</v>
      </c>
      <c r="J174" s="352">
        <f>F174*H174</f>
        <v>0</v>
      </c>
    </row>
    <row r="175" spans="1:10" ht="27">
      <c r="A175" s="322"/>
      <c r="B175" s="309" t="s">
        <v>471</v>
      </c>
      <c r="C175" s="309">
        <v>1</v>
      </c>
      <c r="D175" s="310" t="str">
        <f>$D$25</f>
        <v>Eletricista com encargos complementares e adicional de periculosidade</v>
      </c>
      <c r="E175" s="309" t="s">
        <v>82</v>
      </c>
      <c r="F175" s="309">
        <v>2.69E-2</v>
      </c>
      <c r="G175" s="351"/>
      <c r="H175" s="311">
        <f>$J$25</f>
        <v>25.201999999999998</v>
      </c>
      <c r="I175" s="314">
        <f t="shared" ref="I175:I176" si="13">F175*G175</f>
        <v>0</v>
      </c>
      <c r="J175" s="352">
        <f>F175*H175</f>
        <v>0.67793379999999992</v>
      </c>
    </row>
    <row r="176" spans="1:10" ht="27">
      <c r="A176" s="322"/>
      <c r="B176" s="309" t="s">
        <v>471</v>
      </c>
      <c r="C176" s="309">
        <v>2</v>
      </c>
      <c r="D176" s="310" t="str">
        <f>$D$37</f>
        <v>Auxiliar de eletricista com encargos complementares e adicional de periculosidade</v>
      </c>
      <c r="E176" s="309" t="s">
        <v>82</v>
      </c>
      <c r="F176" s="309">
        <v>2.69E-2</v>
      </c>
      <c r="G176" s="351"/>
      <c r="H176" s="311">
        <f>$J$37</f>
        <v>18.998000000000001</v>
      </c>
      <c r="I176" s="314">
        <f t="shared" si="13"/>
        <v>0</v>
      </c>
      <c r="J176" s="352">
        <f>F176*H176</f>
        <v>0.51104620000000001</v>
      </c>
    </row>
    <row r="177" spans="1:10">
      <c r="A177" s="322"/>
      <c r="B177" s="309"/>
      <c r="C177" s="309"/>
      <c r="D177" s="310"/>
      <c r="E177" s="309"/>
      <c r="F177" s="309"/>
      <c r="G177" s="351"/>
      <c r="H177" s="351"/>
      <c r="I177" s="351"/>
      <c r="J177" s="352"/>
    </row>
    <row r="178" spans="1:10">
      <c r="A178" s="297" t="s">
        <v>523</v>
      </c>
      <c r="B178" s="298"/>
      <c r="C178" s="298"/>
      <c r="D178" s="299"/>
      <c r="E178" s="298"/>
      <c r="F178" s="298"/>
      <c r="G178" s="300"/>
      <c r="H178" s="300"/>
      <c r="I178" s="300"/>
      <c r="J178" s="301"/>
    </row>
    <row r="179" spans="1:10">
      <c r="A179" s="318"/>
      <c r="B179" s="303" t="s">
        <v>471</v>
      </c>
      <c r="C179" s="303">
        <v>98307</v>
      </c>
      <c r="D179" s="319" t="s">
        <v>673</v>
      </c>
      <c r="E179" s="303" t="s">
        <v>44</v>
      </c>
      <c r="F179" s="303">
        <v>1</v>
      </c>
      <c r="G179" s="349"/>
      <c r="H179" s="349"/>
      <c r="I179" s="320">
        <f>SUM(I180:I182)</f>
        <v>37.26</v>
      </c>
      <c r="J179" s="350">
        <f>SUM(J180:J182)</f>
        <v>4.5570199999999996</v>
      </c>
    </row>
    <row r="180" spans="1:10" s="357" customFormat="1" ht="27">
      <c r="A180" s="348"/>
      <c r="B180" s="309" t="s">
        <v>439</v>
      </c>
      <c r="C180" s="336">
        <v>38083</v>
      </c>
      <c r="D180" s="310" t="s">
        <v>587</v>
      </c>
      <c r="E180" s="336" t="s">
        <v>44</v>
      </c>
      <c r="F180" s="336">
        <v>1</v>
      </c>
      <c r="G180" s="337">
        <f>$G$106</f>
        <v>37.26</v>
      </c>
      <c r="H180" s="337"/>
      <c r="I180" s="314">
        <f>F180*G180</f>
        <v>37.26</v>
      </c>
      <c r="J180" s="338"/>
    </row>
    <row r="181" spans="1:10" ht="27">
      <c r="A181" s="322"/>
      <c r="B181" s="309" t="s">
        <v>471</v>
      </c>
      <c r="C181" s="309">
        <v>1</v>
      </c>
      <c r="D181" s="310" t="str">
        <f>$D$25</f>
        <v>Eletricista com encargos complementares e adicional de periculosidade</v>
      </c>
      <c r="E181" s="309" t="s">
        <v>82</v>
      </c>
      <c r="F181" s="309">
        <f>(0.2062)/2</f>
        <v>0.1031</v>
      </c>
      <c r="G181" s="351"/>
      <c r="H181" s="311">
        <f>$J$25</f>
        <v>25.201999999999998</v>
      </c>
      <c r="I181" s="314">
        <f t="shared" ref="I181:I182" si="14">F181*G181</f>
        <v>0</v>
      </c>
      <c r="J181" s="352">
        <f>F181*H181</f>
        <v>2.5983261999999998</v>
      </c>
    </row>
    <row r="182" spans="1:10" ht="27">
      <c r="A182" s="322"/>
      <c r="B182" s="309" t="s">
        <v>471</v>
      </c>
      <c r="C182" s="309">
        <v>2</v>
      </c>
      <c r="D182" s="310" t="str">
        <f>$D$37</f>
        <v>Auxiliar de eletricista com encargos complementares e adicional de periculosidade</v>
      </c>
      <c r="E182" s="309" t="s">
        <v>82</v>
      </c>
      <c r="F182" s="309">
        <f>(0.2062)/2</f>
        <v>0.1031</v>
      </c>
      <c r="G182" s="351"/>
      <c r="H182" s="311">
        <f>$J$37</f>
        <v>18.998000000000001</v>
      </c>
      <c r="I182" s="314">
        <f t="shared" si="14"/>
        <v>0</v>
      </c>
      <c r="J182" s="352">
        <f>F182*H182</f>
        <v>1.9586938</v>
      </c>
    </row>
    <row r="183" spans="1:10">
      <c r="A183" s="322"/>
      <c r="B183" s="309"/>
      <c r="C183" s="309"/>
      <c r="D183" s="310"/>
      <c r="E183" s="309"/>
      <c r="F183" s="309"/>
      <c r="G183" s="351"/>
      <c r="H183" s="311"/>
      <c r="I183" s="351"/>
      <c r="J183" s="352"/>
    </row>
    <row r="184" spans="1:10">
      <c r="A184" s="297" t="s">
        <v>524</v>
      </c>
      <c r="B184" s="298"/>
      <c r="C184" s="298"/>
      <c r="D184" s="299"/>
      <c r="E184" s="298"/>
      <c r="F184" s="298"/>
      <c r="G184" s="300"/>
      <c r="H184" s="300"/>
      <c r="I184" s="300"/>
      <c r="J184" s="301"/>
    </row>
    <row r="185" spans="1:10" ht="27">
      <c r="A185" s="318"/>
      <c r="B185" s="303" t="s">
        <v>471</v>
      </c>
      <c r="C185" s="303">
        <v>98307</v>
      </c>
      <c r="D185" s="319" t="s">
        <v>525</v>
      </c>
      <c r="E185" s="303" t="s">
        <v>44</v>
      </c>
      <c r="F185" s="303">
        <v>1</v>
      </c>
      <c r="G185" s="349"/>
      <c r="H185" s="349"/>
      <c r="I185" s="349">
        <f>SUM(I186:I189)</f>
        <v>70.819999999999993</v>
      </c>
      <c r="J185" s="350">
        <f>SUM(J186:J189)</f>
        <v>9.1140399999999993</v>
      </c>
    </row>
    <row r="186" spans="1:10" ht="27">
      <c r="A186" s="348"/>
      <c r="B186" s="309" t="s">
        <v>439</v>
      </c>
      <c r="C186" s="309">
        <v>38083</v>
      </c>
      <c r="D186" s="310" t="s">
        <v>526</v>
      </c>
      <c r="E186" s="309" t="s">
        <v>44</v>
      </c>
      <c r="F186" s="309">
        <v>1</v>
      </c>
      <c r="G186" s="351">
        <f>$G$106</f>
        <v>37.26</v>
      </c>
      <c r="H186" s="311"/>
      <c r="I186" s="314">
        <f t="shared" ref="I186:I189" si="15">F186*G186</f>
        <v>37.26</v>
      </c>
      <c r="J186" s="352">
        <f t="shared" ref="J186:J187" si="16">F186*H186</f>
        <v>0</v>
      </c>
    </row>
    <row r="187" spans="1:10">
      <c r="A187" s="348"/>
      <c r="B187" s="309" t="s">
        <v>439</v>
      </c>
      <c r="C187" s="309">
        <v>38104</v>
      </c>
      <c r="D187" s="310" t="s">
        <v>527</v>
      </c>
      <c r="E187" s="309" t="s">
        <v>44</v>
      </c>
      <c r="F187" s="309">
        <v>1</v>
      </c>
      <c r="G187" s="353">
        <v>33.56</v>
      </c>
      <c r="H187" s="311"/>
      <c r="I187" s="314">
        <f t="shared" si="15"/>
        <v>33.56</v>
      </c>
      <c r="J187" s="352">
        <f t="shared" si="16"/>
        <v>0</v>
      </c>
    </row>
    <row r="188" spans="1:10" ht="27">
      <c r="A188" s="322"/>
      <c r="B188" s="309" t="s">
        <v>471</v>
      </c>
      <c r="C188" s="309">
        <v>1</v>
      </c>
      <c r="D188" s="310" t="str">
        <f>$D$25</f>
        <v>Eletricista com encargos complementares e adicional de periculosidade</v>
      </c>
      <c r="E188" s="309" t="s">
        <v>82</v>
      </c>
      <c r="F188" s="309">
        <f>0.2062</f>
        <v>0.20619999999999999</v>
      </c>
      <c r="G188" s="351"/>
      <c r="H188" s="311">
        <f>$J$25</f>
        <v>25.201999999999998</v>
      </c>
      <c r="I188" s="314">
        <f t="shared" si="15"/>
        <v>0</v>
      </c>
      <c r="J188" s="352">
        <f>F188*H188</f>
        <v>5.1966523999999996</v>
      </c>
    </row>
    <row r="189" spans="1:10" ht="27">
      <c r="A189" s="322"/>
      <c r="B189" s="309" t="s">
        <v>471</v>
      </c>
      <c r="C189" s="309">
        <v>2</v>
      </c>
      <c r="D189" s="310" t="str">
        <f>$D$37</f>
        <v>Auxiliar de eletricista com encargos complementares e adicional de periculosidade</v>
      </c>
      <c r="E189" s="309" t="s">
        <v>82</v>
      </c>
      <c r="F189" s="309">
        <f>0.2062</f>
        <v>0.20619999999999999</v>
      </c>
      <c r="G189" s="351"/>
      <c r="H189" s="311">
        <f>$J$37</f>
        <v>18.998000000000001</v>
      </c>
      <c r="I189" s="314">
        <f t="shared" si="15"/>
        <v>0</v>
      </c>
      <c r="J189" s="352">
        <f>F189*H189</f>
        <v>3.9173876000000001</v>
      </c>
    </row>
    <row r="190" spans="1:10">
      <c r="A190" s="322"/>
      <c r="B190" s="309"/>
      <c r="C190" s="309"/>
      <c r="D190" s="310"/>
      <c r="E190" s="309"/>
      <c r="F190" s="309"/>
      <c r="G190" s="351"/>
      <c r="H190" s="311"/>
      <c r="I190" s="351"/>
      <c r="J190" s="352"/>
    </row>
    <row r="191" spans="1:10">
      <c r="A191" s="297" t="s">
        <v>529</v>
      </c>
      <c r="B191" s="309"/>
      <c r="C191" s="309"/>
      <c r="D191" s="310"/>
      <c r="E191" s="309"/>
      <c r="F191" s="309"/>
      <c r="G191" s="314"/>
      <c r="H191" s="314"/>
      <c r="I191" s="314"/>
      <c r="J191" s="313"/>
    </row>
    <row r="192" spans="1:10" ht="27">
      <c r="A192" s="325"/>
      <c r="B192" s="303" t="s">
        <v>439</v>
      </c>
      <c r="C192" s="303">
        <v>92872</v>
      </c>
      <c r="D192" s="319" t="s">
        <v>530</v>
      </c>
      <c r="E192" s="303" t="s">
        <v>44</v>
      </c>
      <c r="F192" s="303">
        <v>1</v>
      </c>
      <c r="G192" s="320"/>
      <c r="H192" s="320"/>
      <c r="I192" s="320">
        <f>SUM(I193:I196)</f>
        <v>0</v>
      </c>
      <c r="J192" s="321">
        <f>SUM(J193:J196)</f>
        <v>12.633848</v>
      </c>
    </row>
    <row r="193" spans="1:10">
      <c r="A193" s="327"/>
      <c r="B193" s="309" t="s">
        <v>439</v>
      </c>
      <c r="C193" s="309">
        <v>2557</v>
      </c>
      <c r="D193" s="310" t="s">
        <v>674</v>
      </c>
      <c r="E193" s="309" t="s">
        <v>44</v>
      </c>
      <c r="F193" s="309">
        <v>1</v>
      </c>
      <c r="G193" s="314"/>
      <c r="H193" s="315">
        <v>4.66</v>
      </c>
      <c r="I193" s="314">
        <f>F193*G193</f>
        <v>0</v>
      </c>
      <c r="J193" s="313">
        <f>F193*H193</f>
        <v>4.66</v>
      </c>
    </row>
    <row r="194" spans="1:10" ht="27">
      <c r="A194" s="327"/>
      <c r="B194" s="309" t="s">
        <v>439</v>
      </c>
      <c r="C194" s="309">
        <v>88629</v>
      </c>
      <c r="D194" s="310" t="s">
        <v>528</v>
      </c>
      <c r="E194" s="309" t="s">
        <v>44</v>
      </c>
      <c r="F194" s="309">
        <v>1.1999999999999999E-3</v>
      </c>
      <c r="G194" s="314"/>
      <c r="H194" s="315">
        <v>530.54</v>
      </c>
      <c r="I194" s="314">
        <f>F194*G194</f>
        <v>0</v>
      </c>
      <c r="J194" s="313">
        <f>F194*H194</f>
        <v>0.63664799999999988</v>
      </c>
    </row>
    <row r="195" spans="1:10" ht="27">
      <c r="A195" s="327"/>
      <c r="B195" s="309" t="s">
        <v>471</v>
      </c>
      <c r="C195" s="309">
        <v>1</v>
      </c>
      <c r="D195" s="310" t="str">
        <f>$D$25</f>
        <v>Eletricista com encargos complementares e adicional de periculosidade</v>
      </c>
      <c r="E195" s="309" t="s">
        <v>82</v>
      </c>
      <c r="F195" s="309">
        <v>0.16600000000000001</v>
      </c>
      <c r="G195" s="314"/>
      <c r="H195" s="311">
        <f>$J$25</f>
        <v>25.201999999999998</v>
      </c>
      <c r="I195" s="314">
        <f>F195*G195</f>
        <v>0</v>
      </c>
      <c r="J195" s="313">
        <f>F195*H195</f>
        <v>4.1835319999999996</v>
      </c>
    </row>
    <row r="196" spans="1:10" ht="27">
      <c r="A196" s="327"/>
      <c r="B196" s="309" t="s">
        <v>471</v>
      </c>
      <c r="C196" s="309">
        <v>2</v>
      </c>
      <c r="D196" s="310" t="str">
        <f>$D$37</f>
        <v>Auxiliar de eletricista com encargos complementares e adicional de periculosidade</v>
      </c>
      <c r="E196" s="309" t="s">
        <v>82</v>
      </c>
      <c r="F196" s="309">
        <v>0.16600000000000001</v>
      </c>
      <c r="G196" s="314"/>
      <c r="H196" s="311">
        <f>$J$37</f>
        <v>18.998000000000001</v>
      </c>
      <c r="I196" s="314">
        <f>F196*G196</f>
        <v>0</v>
      </c>
      <c r="J196" s="313">
        <f>F196*H196</f>
        <v>3.1536680000000001</v>
      </c>
    </row>
    <row r="197" spans="1:10">
      <c r="A197" s="327"/>
      <c r="B197" s="309"/>
      <c r="C197" s="309"/>
      <c r="D197" s="310"/>
      <c r="E197" s="309"/>
      <c r="F197" s="309"/>
      <c r="G197" s="314"/>
      <c r="H197" s="311"/>
      <c r="I197" s="314"/>
      <c r="J197" s="313"/>
    </row>
    <row r="198" spans="1:10">
      <c r="A198" s="297" t="s">
        <v>531</v>
      </c>
      <c r="B198" s="309"/>
      <c r="C198" s="309"/>
      <c r="D198" s="310"/>
      <c r="E198" s="309"/>
      <c r="F198" s="309"/>
      <c r="G198" s="314"/>
      <c r="H198" s="314"/>
      <c r="I198" s="314"/>
      <c r="J198" s="313"/>
    </row>
    <row r="199" spans="1:10" ht="40.5">
      <c r="A199" s="325"/>
      <c r="B199" s="303" t="s">
        <v>439</v>
      </c>
      <c r="C199" s="303">
        <v>91941</v>
      </c>
      <c r="D199" s="319" t="s">
        <v>532</v>
      </c>
      <c r="E199" s="303" t="s">
        <v>44</v>
      </c>
      <c r="F199" s="303">
        <v>1</v>
      </c>
      <c r="G199" s="320"/>
      <c r="H199" s="320"/>
      <c r="I199" s="320">
        <f>SUM(I200:I203)</f>
        <v>2.58</v>
      </c>
      <c r="J199" s="321">
        <f>SUM(J200:J203)</f>
        <v>6.8864859999999997</v>
      </c>
    </row>
    <row r="200" spans="1:10" s="357" customFormat="1" ht="27">
      <c r="A200" s="326"/>
      <c r="B200" s="309" t="s">
        <v>439</v>
      </c>
      <c r="C200" s="309">
        <v>1872</v>
      </c>
      <c r="D200" s="310" t="s">
        <v>675</v>
      </c>
      <c r="E200" s="309" t="s">
        <v>44</v>
      </c>
      <c r="F200" s="309">
        <v>1</v>
      </c>
      <c r="G200" s="315">
        <v>2.58</v>
      </c>
      <c r="H200" s="314"/>
      <c r="I200" s="314">
        <f>F200*G200</f>
        <v>2.58</v>
      </c>
      <c r="J200" s="313">
        <f>F200*H200</f>
        <v>0</v>
      </c>
    </row>
    <row r="201" spans="1:10" ht="27">
      <c r="A201" s="327"/>
      <c r="B201" s="309" t="s">
        <v>439</v>
      </c>
      <c r="C201" s="309">
        <v>88629</v>
      </c>
      <c r="D201" s="310" t="s">
        <v>528</v>
      </c>
      <c r="E201" s="309" t="s">
        <v>44</v>
      </c>
      <c r="F201" s="309">
        <v>8.9999999999999998E-4</v>
      </c>
      <c r="G201" s="314"/>
      <c r="H201" s="314">
        <f>$H$194</f>
        <v>530.54</v>
      </c>
      <c r="I201" s="314">
        <f>F201*G201</f>
        <v>0</v>
      </c>
      <c r="J201" s="313">
        <f>F201*H201</f>
        <v>0.47748599999999997</v>
      </c>
    </row>
    <row r="202" spans="1:10" ht="27">
      <c r="A202" s="327"/>
      <c r="B202" s="309" t="s">
        <v>471</v>
      </c>
      <c r="C202" s="309">
        <v>1</v>
      </c>
      <c r="D202" s="310" t="str">
        <f>$D$25</f>
        <v>Eletricista com encargos complementares e adicional de periculosidade</v>
      </c>
      <c r="E202" s="309" t="s">
        <v>82</v>
      </c>
      <c r="F202" s="309">
        <v>0.14499999999999999</v>
      </c>
      <c r="G202" s="314"/>
      <c r="H202" s="311">
        <f>$J$25</f>
        <v>25.201999999999998</v>
      </c>
      <c r="I202" s="314">
        <f>F202*G202</f>
        <v>0</v>
      </c>
      <c r="J202" s="313">
        <f>F202*H202</f>
        <v>3.6542899999999996</v>
      </c>
    </row>
    <row r="203" spans="1:10" ht="27">
      <c r="A203" s="327"/>
      <c r="B203" s="309" t="s">
        <v>471</v>
      </c>
      <c r="C203" s="309">
        <v>2</v>
      </c>
      <c r="D203" s="310" t="str">
        <f>$D$37</f>
        <v>Auxiliar de eletricista com encargos complementares e adicional de periculosidade</v>
      </c>
      <c r="E203" s="309" t="s">
        <v>82</v>
      </c>
      <c r="F203" s="309">
        <v>0.14499999999999999</v>
      </c>
      <c r="G203" s="314"/>
      <c r="H203" s="311">
        <f>$J$37</f>
        <v>18.998000000000001</v>
      </c>
      <c r="I203" s="314">
        <f>F203*G203</f>
        <v>0</v>
      </c>
      <c r="J203" s="313">
        <f>F203*H203</f>
        <v>2.7547099999999998</v>
      </c>
    </row>
    <row r="204" spans="1:10">
      <c r="A204" s="327"/>
      <c r="B204" s="309"/>
      <c r="C204" s="309"/>
      <c r="D204" s="310"/>
      <c r="E204" s="309"/>
      <c r="F204" s="309"/>
      <c r="G204" s="314"/>
      <c r="H204" s="314"/>
      <c r="I204" s="314"/>
      <c r="J204" s="313"/>
    </row>
    <row r="205" spans="1:10">
      <c r="A205" s="297" t="s">
        <v>535</v>
      </c>
      <c r="B205" s="298"/>
      <c r="C205" s="298"/>
      <c r="D205" s="299"/>
      <c r="E205" s="298"/>
      <c r="F205" s="298"/>
      <c r="G205" s="300"/>
      <c r="H205" s="300"/>
      <c r="I205" s="300"/>
      <c r="J205" s="301"/>
    </row>
    <row r="206" spans="1:10" ht="40.5">
      <c r="A206" s="318"/>
      <c r="B206" s="303" t="s">
        <v>439</v>
      </c>
      <c r="C206" s="303">
        <v>95746</v>
      </c>
      <c r="D206" s="319" t="s">
        <v>615</v>
      </c>
      <c r="E206" s="303" t="s">
        <v>75</v>
      </c>
      <c r="F206" s="303">
        <v>1</v>
      </c>
      <c r="G206" s="320"/>
      <c r="H206" s="320"/>
      <c r="I206" s="320">
        <f>SUM(I207:I214)</f>
        <v>23.69</v>
      </c>
      <c r="J206" s="321">
        <f>SUM(J207:J214)</f>
        <v>17.002049799999998</v>
      </c>
    </row>
    <row r="207" spans="1:10" s="357" customFormat="1" ht="27">
      <c r="A207" s="348"/>
      <c r="B207" s="309" t="s">
        <v>439</v>
      </c>
      <c r="C207" s="309">
        <v>21136</v>
      </c>
      <c r="D207" s="310" t="s">
        <v>616</v>
      </c>
      <c r="E207" s="309" t="s">
        <v>44</v>
      </c>
      <c r="F207" s="334">
        <v>1</v>
      </c>
      <c r="G207" s="315">
        <v>23.69</v>
      </c>
      <c r="H207" s="314">
        <v>0</v>
      </c>
      <c r="I207" s="314">
        <f t="shared" ref="I207" si="17">F207*G207</f>
        <v>23.69</v>
      </c>
      <c r="J207" s="313">
        <f t="shared" ref="J207" si="18">F207*H207</f>
        <v>0</v>
      </c>
    </row>
    <row r="208" spans="1:10">
      <c r="A208" s="348"/>
      <c r="B208" s="309" t="s">
        <v>439</v>
      </c>
      <c r="C208" s="309">
        <v>3472</v>
      </c>
      <c r="D208" s="310" t="s">
        <v>536</v>
      </c>
      <c r="E208" s="309" t="s">
        <v>44</v>
      </c>
      <c r="F208" s="334">
        <f>1.05*0.265</f>
        <v>0.27825000000000005</v>
      </c>
      <c r="G208" s="314"/>
      <c r="H208" s="315">
        <v>12.83</v>
      </c>
      <c r="I208" s="314">
        <f t="shared" ref="I208" si="19">F208*G208</f>
        <v>0</v>
      </c>
      <c r="J208" s="313">
        <f t="shared" ref="J208:J214" si="20">F208*H208</f>
        <v>3.5699475000000005</v>
      </c>
    </row>
    <row r="209" spans="1:10">
      <c r="A209" s="348"/>
      <c r="B209" s="309" t="s">
        <v>439</v>
      </c>
      <c r="C209" s="309">
        <v>3910</v>
      </c>
      <c r="D209" s="310" t="s">
        <v>537</v>
      </c>
      <c r="E209" s="309" t="s">
        <v>44</v>
      </c>
      <c r="F209" s="354">
        <f>1.05*0.3333</f>
        <v>0.34996500000000003</v>
      </c>
      <c r="G209" s="314"/>
      <c r="H209" s="315">
        <v>6.86</v>
      </c>
      <c r="I209" s="314">
        <f>F209*G209</f>
        <v>0</v>
      </c>
      <c r="J209" s="313">
        <f t="shared" si="20"/>
        <v>2.4007599000000002</v>
      </c>
    </row>
    <row r="210" spans="1:10">
      <c r="A210" s="348"/>
      <c r="B210" s="309" t="s">
        <v>439</v>
      </c>
      <c r="C210" s="309">
        <v>39210</v>
      </c>
      <c r="D210" s="310" t="s">
        <v>538</v>
      </c>
      <c r="E210" s="309" t="s">
        <v>44</v>
      </c>
      <c r="F210" s="334">
        <f>1.05*4/3</f>
        <v>1.4000000000000001</v>
      </c>
      <c r="G210" s="314"/>
      <c r="H210" s="315">
        <v>0.77</v>
      </c>
      <c r="I210" s="314">
        <f t="shared" ref="I210:I214" si="21">F210*G210</f>
        <v>0</v>
      </c>
      <c r="J210" s="313">
        <f t="shared" si="20"/>
        <v>1.0780000000000001</v>
      </c>
    </row>
    <row r="211" spans="1:10" ht="40.5">
      <c r="A211" s="348"/>
      <c r="B211" s="309" t="s">
        <v>439</v>
      </c>
      <c r="C211" s="309">
        <v>7583</v>
      </c>
      <c r="D211" s="310" t="s">
        <v>533</v>
      </c>
      <c r="E211" s="309" t="s">
        <v>44</v>
      </c>
      <c r="F211" s="334">
        <f>1.05*0.666666666666667</f>
        <v>0.70000000000000029</v>
      </c>
      <c r="G211" s="314"/>
      <c r="H211" s="315">
        <v>0.79</v>
      </c>
      <c r="I211" s="314"/>
      <c r="J211" s="313">
        <f t="shared" si="20"/>
        <v>0.55300000000000027</v>
      </c>
    </row>
    <row r="212" spans="1:10" ht="27">
      <c r="A212" s="348"/>
      <c r="B212" s="309" t="s">
        <v>439</v>
      </c>
      <c r="C212" s="309">
        <v>39129</v>
      </c>
      <c r="D212" s="310" t="s">
        <v>539</v>
      </c>
      <c r="E212" s="309" t="s">
        <v>44</v>
      </c>
      <c r="F212" s="354">
        <f>1.05*2/3</f>
        <v>0.70000000000000007</v>
      </c>
      <c r="G212" s="314"/>
      <c r="H212" s="315">
        <v>1.26</v>
      </c>
      <c r="I212" s="314">
        <f t="shared" si="21"/>
        <v>0</v>
      </c>
      <c r="J212" s="313">
        <f t="shared" si="20"/>
        <v>0.88200000000000012</v>
      </c>
    </row>
    <row r="213" spans="1:10" ht="27">
      <c r="A213" s="322"/>
      <c r="B213" s="309" t="s">
        <v>471</v>
      </c>
      <c r="C213" s="309">
        <v>1</v>
      </c>
      <c r="D213" s="310" t="str">
        <f>$D$25</f>
        <v>Eletricista com encargos complementares e adicional de periculosidade</v>
      </c>
      <c r="E213" s="309" t="s">
        <v>82</v>
      </c>
      <c r="F213" s="309">
        <f>0.1044+0.069+0.33*0.1354</f>
        <v>0.218082</v>
      </c>
      <c r="G213" s="314"/>
      <c r="H213" s="311">
        <f>$J$25</f>
        <v>25.201999999999998</v>
      </c>
      <c r="I213" s="314">
        <f t="shared" si="21"/>
        <v>0</v>
      </c>
      <c r="J213" s="313">
        <f t="shared" si="20"/>
        <v>5.4961025639999992</v>
      </c>
    </row>
    <row r="214" spans="1:10" ht="27">
      <c r="A214" s="322"/>
      <c r="B214" s="309" t="s">
        <v>471</v>
      </c>
      <c r="C214" s="309">
        <v>2</v>
      </c>
      <c r="D214" s="310" t="str">
        <f>$D$37</f>
        <v>Auxiliar de eletricista com encargos complementares e adicional de periculosidade</v>
      </c>
      <c r="E214" s="309" t="s">
        <v>82</v>
      </c>
      <c r="F214" s="309">
        <f>0.1044+0.01+0.33*0.1354</f>
        <v>0.159082</v>
      </c>
      <c r="G214" s="355"/>
      <c r="H214" s="311">
        <f>$J$37</f>
        <v>18.998000000000001</v>
      </c>
      <c r="I214" s="314">
        <f t="shared" si="21"/>
        <v>0</v>
      </c>
      <c r="J214" s="313">
        <f t="shared" si="20"/>
        <v>3.0222398360000002</v>
      </c>
    </row>
    <row r="215" spans="1:10">
      <c r="A215" s="335"/>
      <c r="B215" s="336"/>
      <c r="C215" s="309"/>
      <c r="D215" s="310"/>
      <c r="E215" s="336"/>
      <c r="F215" s="309"/>
      <c r="G215" s="311"/>
      <c r="H215" s="311"/>
      <c r="I215" s="311"/>
      <c r="J215" s="333"/>
    </row>
    <row r="216" spans="1:10">
      <c r="A216" s="297" t="s">
        <v>540</v>
      </c>
      <c r="B216" s="309"/>
      <c r="C216" s="309"/>
      <c r="D216" s="310"/>
      <c r="E216" s="309"/>
      <c r="F216" s="309"/>
      <c r="G216" s="314"/>
      <c r="H216" s="314"/>
      <c r="I216" s="314"/>
      <c r="J216" s="313"/>
    </row>
    <row r="217" spans="1:10" ht="27">
      <c r="A217" s="325"/>
      <c r="B217" s="303" t="s">
        <v>439</v>
      </c>
      <c r="C217" s="303">
        <v>95780</v>
      </c>
      <c r="D217" s="319" t="s">
        <v>541</v>
      </c>
      <c r="E217" s="303" t="s">
        <v>44</v>
      </c>
      <c r="F217" s="303">
        <v>1</v>
      </c>
      <c r="G217" s="320"/>
      <c r="H217" s="320"/>
      <c r="I217" s="320">
        <f>SUM(I218:I222)</f>
        <v>24.1035</v>
      </c>
      <c r="J217" s="321">
        <f>SUM(J220:J222)</f>
        <v>16.598400000000002</v>
      </c>
    </row>
    <row r="218" spans="1:10" ht="40.5">
      <c r="A218" s="326"/>
      <c r="B218" s="309" t="s">
        <v>439</v>
      </c>
      <c r="C218" s="309">
        <v>2581</v>
      </c>
      <c r="D218" s="310" t="s">
        <v>542</v>
      </c>
      <c r="E218" s="309" t="s">
        <v>44</v>
      </c>
      <c r="F218" s="309">
        <v>1.05</v>
      </c>
      <c r="G218" s="356">
        <v>16.63</v>
      </c>
      <c r="H218" s="314"/>
      <c r="I218" s="314">
        <f>F218*G218</f>
        <v>17.461500000000001</v>
      </c>
      <c r="J218" s="313"/>
    </row>
    <row r="219" spans="1:10">
      <c r="A219" s="326"/>
      <c r="B219" s="309" t="s">
        <v>439</v>
      </c>
      <c r="C219" s="309">
        <v>2483</v>
      </c>
      <c r="D219" s="310" t="s">
        <v>543</v>
      </c>
      <c r="E219" s="309" t="s">
        <v>44</v>
      </c>
      <c r="F219" s="309">
        <v>2.0499999999999998</v>
      </c>
      <c r="G219" s="356">
        <v>3.24</v>
      </c>
      <c r="H219" s="314"/>
      <c r="I219" s="314">
        <f>F219*G219</f>
        <v>6.6419999999999995</v>
      </c>
      <c r="J219" s="313"/>
    </row>
    <row r="220" spans="1:10" ht="40.5">
      <c r="A220" s="326"/>
      <c r="B220" s="309" t="s">
        <v>439</v>
      </c>
      <c r="C220" s="309">
        <v>11950</v>
      </c>
      <c r="D220" s="310" t="s">
        <v>534</v>
      </c>
      <c r="E220" s="309" t="s">
        <v>44</v>
      </c>
      <c r="F220" s="309">
        <v>2.1</v>
      </c>
      <c r="G220" s="345"/>
      <c r="H220" s="312">
        <v>0.39</v>
      </c>
      <c r="I220" s="314">
        <f>F220*G220</f>
        <v>0</v>
      </c>
      <c r="J220" s="313">
        <f>F220*H220</f>
        <v>0.81900000000000006</v>
      </c>
    </row>
    <row r="221" spans="1:10" ht="27">
      <c r="A221" s="327"/>
      <c r="B221" s="309" t="s">
        <v>471</v>
      </c>
      <c r="C221" s="309">
        <v>1</v>
      </c>
      <c r="D221" s="310" t="str">
        <f>$D$25</f>
        <v>Eletricista com encargos complementares e adicional de periculosidade</v>
      </c>
      <c r="E221" s="309" t="s">
        <v>82</v>
      </c>
      <c r="F221" s="309">
        <v>0.35699999999999998</v>
      </c>
      <c r="G221" s="314"/>
      <c r="H221" s="311">
        <f>$J$25</f>
        <v>25.201999999999998</v>
      </c>
      <c r="I221" s="314">
        <f>F221*G221</f>
        <v>0</v>
      </c>
      <c r="J221" s="313">
        <f>F221*H221</f>
        <v>8.9971139999999998</v>
      </c>
    </row>
    <row r="222" spans="1:10" ht="27">
      <c r="A222" s="327"/>
      <c r="B222" s="309" t="s">
        <v>471</v>
      </c>
      <c r="C222" s="309">
        <v>2</v>
      </c>
      <c r="D222" s="310" t="str">
        <f>$D$37</f>
        <v>Auxiliar de eletricista com encargos complementares e adicional de periculosidade</v>
      </c>
      <c r="E222" s="309" t="s">
        <v>82</v>
      </c>
      <c r="F222" s="309">
        <v>0.35699999999999998</v>
      </c>
      <c r="G222" s="314"/>
      <c r="H222" s="311">
        <f>$J$37</f>
        <v>18.998000000000001</v>
      </c>
      <c r="I222" s="314">
        <f>F222*G222</f>
        <v>0</v>
      </c>
      <c r="J222" s="313">
        <f>F222*H222</f>
        <v>6.782286</v>
      </c>
    </row>
    <row r="223" spans="1:10">
      <c r="A223" s="335"/>
      <c r="B223" s="336"/>
      <c r="C223" s="309"/>
      <c r="D223" s="310"/>
      <c r="E223" s="336"/>
      <c r="F223" s="309"/>
      <c r="G223" s="311"/>
      <c r="H223" s="311"/>
      <c r="I223" s="311"/>
      <c r="J223" s="333"/>
    </row>
    <row r="224" spans="1:10">
      <c r="A224" s="297" t="s">
        <v>544</v>
      </c>
      <c r="B224" s="309"/>
      <c r="C224" s="309"/>
      <c r="D224" s="310"/>
      <c r="E224" s="309"/>
      <c r="F224" s="309"/>
      <c r="G224" s="314"/>
      <c r="H224" s="314"/>
      <c r="I224" s="314"/>
      <c r="J224" s="313"/>
    </row>
    <row r="225" spans="1:10" ht="40.5">
      <c r="A225" s="325"/>
      <c r="B225" s="303" t="s">
        <v>439</v>
      </c>
      <c r="C225" s="303">
        <v>91854</v>
      </c>
      <c r="D225" s="319" t="s">
        <v>545</v>
      </c>
      <c r="E225" s="303" t="s">
        <v>44</v>
      </c>
      <c r="F225" s="303">
        <v>1</v>
      </c>
      <c r="G225" s="320"/>
      <c r="H225" s="320"/>
      <c r="I225" s="320">
        <f>SUM(I226:I228)</f>
        <v>2.3594399999999998</v>
      </c>
      <c r="J225" s="321">
        <f>SUM(J226:J228)</f>
        <v>6.3647999999999989</v>
      </c>
    </row>
    <row r="226" spans="1:10">
      <c r="A226" s="326"/>
      <c r="B226" s="309" t="s">
        <v>439</v>
      </c>
      <c r="C226" s="309">
        <v>2688</v>
      </c>
      <c r="D226" s="310" t="s">
        <v>546</v>
      </c>
      <c r="E226" s="309" t="s">
        <v>44</v>
      </c>
      <c r="F226" s="309">
        <v>1.0169999999999999</v>
      </c>
      <c r="G226" s="312">
        <v>2.3199999999999998</v>
      </c>
      <c r="H226" s="311"/>
      <c r="I226" s="314">
        <f>F226*G226</f>
        <v>2.3594399999999998</v>
      </c>
      <c r="J226" s="313">
        <f>F226*H226</f>
        <v>0</v>
      </c>
    </row>
    <row r="227" spans="1:10" ht="27">
      <c r="A227" s="327"/>
      <c r="B227" s="309" t="s">
        <v>471</v>
      </c>
      <c r="C227" s="309">
        <v>1</v>
      </c>
      <c r="D227" s="310" t="str">
        <f>$D$25</f>
        <v>Eletricista com encargos complementares e adicional de periculosidade</v>
      </c>
      <c r="E227" s="309" t="s">
        <v>82</v>
      </c>
      <c r="F227" s="309">
        <v>0.14399999999999999</v>
      </c>
      <c r="G227" s="314"/>
      <c r="H227" s="311">
        <f>$J$25</f>
        <v>25.201999999999998</v>
      </c>
      <c r="I227" s="314">
        <f>F227*G227</f>
        <v>0</v>
      </c>
      <c r="J227" s="313">
        <f>F227*H227</f>
        <v>3.6290879999999994</v>
      </c>
    </row>
    <row r="228" spans="1:10" ht="27">
      <c r="A228" s="327"/>
      <c r="B228" s="309" t="s">
        <v>471</v>
      </c>
      <c r="C228" s="309">
        <v>2</v>
      </c>
      <c r="D228" s="310" t="str">
        <f>$D$37</f>
        <v>Auxiliar de eletricista com encargos complementares e adicional de periculosidade</v>
      </c>
      <c r="E228" s="309" t="s">
        <v>82</v>
      </c>
      <c r="F228" s="309">
        <v>0.14399999999999999</v>
      </c>
      <c r="G228" s="314"/>
      <c r="H228" s="311">
        <f>$J$37</f>
        <v>18.998000000000001</v>
      </c>
      <c r="I228" s="314">
        <f>F228*G228</f>
        <v>0</v>
      </c>
      <c r="J228" s="313">
        <f>F228*H228</f>
        <v>2.7357119999999999</v>
      </c>
    </row>
    <row r="229" spans="1:10">
      <c r="A229" s="335"/>
      <c r="B229" s="336"/>
      <c r="C229" s="309"/>
      <c r="D229" s="310"/>
      <c r="E229" s="336"/>
      <c r="F229" s="309"/>
      <c r="G229" s="311"/>
      <c r="H229" s="311"/>
      <c r="I229" s="311"/>
      <c r="J229" s="333"/>
    </row>
    <row r="230" spans="1:10">
      <c r="A230" s="297" t="s">
        <v>547</v>
      </c>
      <c r="B230" s="336"/>
      <c r="C230" s="309"/>
      <c r="D230" s="310"/>
      <c r="E230" s="336"/>
      <c r="F230" s="309"/>
      <c r="G230" s="311"/>
      <c r="H230" s="311"/>
      <c r="I230" s="311"/>
      <c r="J230" s="333"/>
    </row>
    <row r="231" spans="1:10" ht="40.5">
      <c r="A231" s="325"/>
      <c r="B231" s="303" t="s">
        <v>439</v>
      </c>
      <c r="C231" s="303">
        <v>91856</v>
      </c>
      <c r="D231" s="319" t="s">
        <v>548</v>
      </c>
      <c r="E231" s="303" t="s">
        <v>75</v>
      </c>
      <c r="F231" s="303">
        <v>1</v>
      </c>
      <c r="G231" s="320"/>
      <c r="H231" s="320"/>
      <c r="I231" s="320">
        <f>SUM(I232:I234)</f>
        <v>4.0476599999999996</v>
      </c>
      <c r="J231" s="321">
        <f>SUM(J232:J234)</f>
        <v>7.248800000000001</v>
      </c>
    </row>
    <row r="232" spans="1:10">
      <c r="A232" s="327"/>
      <c r="B232" s="309" t="s">
        <v>439</v>
      </c>
      <c r="C232" s="309">
        <v>2690</v>
      </c>
      <c r="D232" s="310" t="s">
        <v>549</v>
      </c>
      <c r="E232" s="309" t="s">
        <v>75</v>
      </c>
      <c r="F232" s="309">
        <v>1.0169999999999999</v>
      </c>
      <c r="G232" s="315">
        <v>3.98</v>
      </c>
      <c r="H232" s="314"/>
      <c r="I232" s="314">
        <f>F232*G232</f>
        <v>4.0476599999999996</v>
      </c>
      <c r="J232" s="313">
        <f>F232*H232</f>
        <v>0</v>
      </c>
    </row>
    <row r="233" spans="1:10" ht="27">
      <c r="A233" s="327"/>
      <c r="B233" s="309" t="s">
        <v>471</v>
      </c>
      <c r="C233" s="309">
        <v>1</v>
      </c>
      <c r="D233" s="310" t="str">
        <f>$D$25</f>
        <v>Eletricista com encargos complementares e adicional de periculosidade</v>
      </c>
      <c r="E233" s="309" t="s">
        <v>82</v>
      </c>
      <c r="F233" s="309">
        <v>0.16400000000000001</v>
      </c>
      <c r="G233" s="314"/>
      <c r="H233" s="311">
        <f>$J$25</f>
        <v>25.201999999999998</v>
      </c>
      <c r="I233" s="314">
        <f>F233*G233</f>
        <v>0</v>
      </c>
      <c r="J233" s="313">
        <f>F233*H233</f>
        <v>4.1331280000000001</v>
      </c>
    </row>
    <row r="234" spans="1:10" ht="27">
      <c r="A234" s="327"/>
      <c r="B234" s="309" t="s">
        <v>471</v>
      </c>
      <c r="C234" s="309">
        <v>2</v>
      </c>
      <c r="D234" s="310" t="str">
        <f>$D$37</f>
        <v>Auxiliar de eletricista com encargos complementares e adicional de periculosidade</v>
      </c>
      <c r="E234" s="309" t="s">
        <v>82</v>
      </c>
      <c r="F234" s="309">
        <v>0.16400000000000001</v>
      </c>
      <c r="G234" s="314"/>
      <c r="H234" s="311">
        <f>$J$37</f>
        <v>18.998000000000001</v>
      </c>
      <c r="I234" s="314">
        <f>F234*G234</f>
        <v>0</v>
      </c>
      <c r="J234" s="313">
        <f>F234*H234</f>
        <v>3.1156720000000004</v>
      </c>
    </row>
    <row r="235" spans="1:10">
      <c r="A235" s="335"/>
      <c r="B235" s="336"/>
      <c r="C235" s="309"/>
      <c r="D235" s="310"/>
      <c r="E235" s="336"/>
      <c r="F235" s="309"/>
      <c r="G235" s="311"/>
      <c r="H235" s="311"/>
      <c r="I235" s="311"/>
      <c r="J235" s="333"/>
    </row>
    <row r="236" spans="1:10">
      <c r="A236" s="297" t="s">
        <v>555</v>
      </c>
      <c r="B236" s="298"/>
      <c r="C236" s="298"/>
      <c r="D236" s="299"/>
      <c r="E236" s="298"/>
      <c r="F236" s="298"/>
      <c r="G236" s="300"/>
      <c r="H236" s="300"/>
      <c r="I236" s="300"/>
      <c r="J236" s="301"/>
    </row>
    <row r="237" spans="1:10" ht="27">
      <c r="A237" s="318"/>
      <c r="B237" s="303" t="s">
        <v>471</v>
      </c>
      <c r="C237" s="303">
        <v>105</v>
      </c>
      <c r="D237" s="319" t="s">
        <v>678</v>
      </c>
      <c r="E237" s="303" t="s">
        <v>44</v>
      </c>
      <c r="F237" s="303">
        <v>1</v>
      </c>
      <c r="G237" s="320"/>
      <c r="H237" s="320"/>
      <c r="I237" s="320">
        <f>SUM(I238:I243)</f>
        <v>5.7266950856591325</v>
      </c>
      <c r="J237" s="321">
        <f>SUM(J238:J243)</f>
        <v>10.151399999999999</v>
      </c>
    </row>
    <row r="238" spans="1:10" s="357" customFormat="1" ht="27">
      <c r="A238" s="348"/>
      <c r="B238" s="309" t="s">
        <v>488</v>
      </c>
      <c r="C238" s="309" t="s">
        <v>764</v>
      </c>
      <c r="D238" s="310" t="s">
        <v>766</v>
      </c>
      <c r="E238" s="309" t="s">
        <v>44</v>
      </c>
      <c r="F238" s="354">
        <v>1</v>
      </c>
      <c r="G238" s="315">
        <f>VLOOKUP(C238,'Fonte Cotação'!B:E,3,0)</f>
        <v>5.7266950856591325</v>
      </c>
      <c r="H238" s="311">
        <v>0</v>
      </c>
      <c r="I238" s="314">
        <f t="shared" ref="I238:I241" si="22">F238*G238</f>
        <v>5.7266950856591325</v>
      </c>
      <c r="J238" s="313">
        <f t="shared" ref="J238:J241" si="23">F238*H238</f>
        <v>0</v>
      </c>
    </row>
    <row r="239" spans="1:10">
      <c r="A239" s="348"/>
      <c r="B239" s="309" t="s">
        <v>439</v>
      </c>
      <c r="C239" s="309">
        <v>13348</v>
      </c>
      <c r="D239" s="310" t="s">
        <v>552</v>
      </c>
      <c r="E239" s="309" t="s">
        <v>44</v>
      </c>
      <c r="F239" s="309">
        <v>8</v>
      </c>
      <c r="G239" s="314">
        <v>0</v>
      </c>
      <c r="H239" s="315">
        <v>0.92</v>
      </c>
      <c r="I239" s="314">
        <f t="shared" si="22"/>
        <v>0</v>
      </c>
      <c r="J239" s="313">
        <f t="shared" si="23"/>
        <v>7.36</v>
      </c>
    </row>
    <row r="240" spans="1:10">
      <c r="A240" s="348"/>
      <c r="B240" s="309" t="s">
        <v>439</v>
      </c>
      <c r="C240" s="309">
        <v>39997</v>
      </c>
      <c r="D240" s="310" t="s">
        <v>553</v>
      </c>
      <c r="E240" s="309" t="s">
        <v>44</v>
      </c>
      <c r="F240" s="309">
        <v>4</v>
      </c>
      <c r="G240" s="314">
        <v>0</v>
      </c>
      <c r="H240" s="315">
        <v>0.2</v>
      </c>
      <c r="I240" s="314">
        <f t="shared" si="22"/>
        <v>0</v>
      </c>
      <c r="J240" s="313">
        <f t="shared" si="23"/>
        <v>0.8</v>
      </c>
    </row>
    <row r="241" spans="1:10">
      <c r="A241" s="348"/>
      <c r="B241" s="309" t="s">
        <v>439</v>
      </c>
      <c r="C241" s="309">
        <v>11058</v>
      </c>
      <c r="D241" s="310" t="s">
        <v>554</v>
      </c>
      <c r="E241" s="309" t="s">
        <v>44</v>
      </c>
      <c r="F241" s="309">
        <v>4</v>
      </c>
      <c r="G241" s="314">
        <v>0</v>
      </c>
      <c r="H241" s="315">
        <v>0.31</v>
      </c>
      <c r="I241" s="314">
        <f t="shared" si="22"/>
        <v>0</v>
      </c>
      <c r="J241" s="313">
        <f t="shared" si="23"/>
        <v>1.24</v>
      </c>
    </row>
    <row r="242" spans="1:10" ht="27">
      <c r="A242" s="322"/>
      <c r="B242" s="309" t="s">
        <v>471</v>
      </c>
      <c r="C242" s="309">
        <v>1</v>
      </c>
      <c r="D242" s="310" t="str">
        <f>$D$25</f>
        <v>Eletricista com encargos complementares e adicional de periculosidade</v>
      </c>
      <c r="E242" s="309" t="s">
        <v>82</v>
      </c>
      <c r="F242" s="309">
        <v>1.7000000000000001E-2</v>
      </c>
      <c r="G242" s="314">
        <v>0</v>
      </c>
      <c r="H242" s="311">
        <f>$J$25</f>
        <v>25.201999999999998</v>
      </c>
      <c r="I242" s="314">
        <f>F242*G242</f>
        <v>0</v>
      </c>
      <c r="J242" s="313">
        <f>F242*H242</f>
        <v>0.42843399999999998</v>
      </c>
    </row>
    <row r="243" spans="1:10" ht="27">
      <c r="A243" s="322"/>
      <c r="B243" s="309" t="s">
        <v>471</v>
      </c>
      <c r="C243" s="309">
        <v>2</v>
      </c>
      <c r="D243" s="310" t="str">
        <f>$D$37</f>
        <v>Auxiliar de eletricista com encargos complementares e adicional de periculosidade</v>
      </c>
      <c r="E243" s="309" t="s">
        <v>82</v>
      </c>
      <c r="F243" s="309">
        <v>1.7000000000000001E-2</v>
      </c>
      <c r="G243" s="314">
        <v>0</v>
      </c>
      <c r="H243" s="311">
        <f>$J$37</f>
        <v>18.998000000000001</v>
      </c>
      <c r="I243" s="314">
        <f>F243*G243</f>
        <v>0</v>
      </c>
      <c r="J243" s="313">
        <f>F243*H243</f>
        <v>0.32296600000000003</v>
      </c>
    </row>
    <row r="244" spans="1:10">
      <c r="A244" s="297"/>
      <c r="B244" s="298"/>
      <c r="C244" s="298"/>
      <c r="D244" s="299"/>
      <c r="E244" s="298"/>
      <c r="F244" s="298"/>
      <c r="G244" s="300"/>
      <c r="H244" s="300"/>
      <c r="I244" s="300"/>
      <c r="J244" s="301"/>
    </row>
    <row r="245" spans="1:10">
      <c r="A245" s="297" t="s">
        <v>556</v>
      </c>
      <c r="B245" s="298"/>
      <c r="C245" s="298"/>
      <c r="D245" s="299"/>
      <c r="E245" s="298"/>
      <c r="F245" s="298"/>
      <c r="G245" s="300"/>
      <c r="H245" s="300"/>
      <c r="I245" s="300"/>
      <c r="J245" s="301"/>
    </row>
    <row r="246" spans="1:10" ht="40.5">
      <c r="A246" s="318"/>
      <c r="B246" s="303" t="s">
        <v>471</v>
      </c>
      <c r="C246" s="303">
        <v>106</v>
      </c>
      <c r="D246" s="319" t="s">
        <v>677</v>
      </c>
      <c r="E246" s="303" t="s">
        <v>75</v>
      </c>
      <c r="F246" s="303">
        <v>1</v>
      </c>
      <c r="G246" s="320"/>
      <c r="H246" s="320"/>
      <c r="I246" s="320">
        <f>SUM(I247:I255)</f>
        <v>16.34</v>
      </c>
      <c r="J246" s="321">
        <f>SUM(J247:J255)</f>
        <v>13.305499999999999</v>
      </c>
    </row>
    <row r="247" spans="1:10" s="357" customFormat="1" ht="27">
      <c r="A247" s="348"/>
      <c r="B247" s="309" t="s">
        <v>488</v>
      </c>
      <c r="C247" s="309" t="s">
        <v>765</v>
      </c>
      <c r="D247" s="310" t="s">
        <v>676</v>
      </c>
      <c r="E247" s="309" t="s">
        <v>75</v>
      </c>
      <c r="F247" s="354">
        <v>1</v>
      </c>
      <c r="G247" s="315">
        <f>VLOOKUP(C247,'Fonte Cotação'!B:E,3,0)</f>
        <v>16.34</v>
      </c>
      <c r="H247" s="314">
        <v>0</v>
      </c>
      <c r="I247" s="314">
        <f t="shared" ref="I247" si="24">F247*G247</f>
        <v>16.34</v>
      </c>
      <c r="J247" s="313">
        <f t="shared" ref="J247" si="25">F247*H247</f>
        <v>0</v>
      </c>
    </row>
    <row r="248" spans="1:10">
      <c r="A248" s="348"/>
      <c r="B248" s="309" t="s">
        <v>439</v>
      </c>
      <c r="C248" s="309">
        <v>39996</v>
      </c>
      <c r="D248" s="310" t="s">
        <v>550</v>
      </c>
      <c r="E248" s="309" t="s">
        <v>75</v>
      </c>
      <c r="F248" s="354">
        <f>1.05*(0.75*2)/3</f>
        <v>0.52500000000000002</v>
      </c>
      <c r="G248" s="314"/>
      <c r="H248" s="315">
        <v>5.38</v>
      </c>
      <c r="I248" s="314">
        <f t="shared" ref="I248:I252" si="26">F248*G248</f>
        <v>0</v>
      </c>
      <c r="J248" s="313">
        <f t="shared" ref="J248:J252" si="27">F248*H248</f>
        <v>2.8245</v>
      </c>
    </row>
    <row r="249" spans="1:10">
      <c r="A249" s="348"/>
      <c r="B249" s="309" t="s">
        <v>488</v>
      </c>
      <c r="C249" s="370"/>
      <c r="D249" s="310" t="s">
        <v>557</v>
      </c>
      <c r="E249" s="309" t="s">
        <v>44</v>
      </c>
      <c r="F249" s="354">
        <f>1.05*2/3</f>
        <v>0.70000000000000007</v>
      </c>
      <c r="G249" s="314"/>
      <c r="H249" s="315">
        <v>2.2799999999999998</v>
      </c>
      <c r="I249" s="314">
        <f t="shared" si="26"/>
        <v>0</v>
      </c>
      <c r="J249" s="313">
        <f t="shared" si="27"/>
        <v>1.5960000000000001</v>
      </c>
    </row>
    <row r="250" spans="1:10">
      <c r="A250" s="348"/>
      <c r="B250" s="309" t="s">
        <v>439</v>
      </c>
      <c r="C250" s="309">
        <v>11976</v>
      </c>
      <c r="D250" s="310" t="s">
        <v>551</v>
      </c>
      <c r="E250" s="309" t="s">
        <v>44</v>
      </c>
      <c r="F250" s="354">
        <f>1.05*2/3</f>
        <v>0.70000000000000007</v>
      </c>
      <c r="G250" s="314"/>
      <c r="H250" s="315">
        <v>0.79</v>
      </c>
      <c r="I250" s="314">
        <f t="shared" si="26"/>
        <v>0</v>
      </c>
      <c r="J250" s="313">
        <f t="shared" si="27"/>
        <v>0.55300000000000005</v>
      </c>
    </row>
    <row r="251" spans="1:10">
      <c r="A251" s="348"/>
      <c r="B251" s="309" t="s">
        <v>439</v>
      </c>
      <c r="C251" s="309">
        <v>13348</v>
      </c>
      <c r="D251" s="310" t="s">
        <v>552</v>
      </c>
      <c r="E251" s="309" t="s">
        <v>44</v>
      </c>
      <c r="F251" s="309">
        <f>1.05*10/3</f>
        <v>3.5</v>
      </c>
      <c r="G251" s="314"/>
      <c r="H251" s="314">
        <f>$H$239</f>
        <v>0.92</v>
      </c>
      <c r="I251" s="314">
        <f t="shared" si="26"/>
        <v>0</v>
      </c>
      <c r="J251" s="313">
        <f t="shared" si="27"/>
        <v>3.22</v>
      </c>
    </row>
    <row r="252" spans="1:10">
      <c r="A252" s="348"/>
      <c r="B252" s="309" t="s">
        <v>439</v>
      </c>
      <c r="C252" s="309">
        <v>39997</v>
      </c>
      <c r="D252" s="310" t="s">
        <v>553</v>
      </c>
      <c r="E252" s="309" t="s">
        <v>44</v>
      </c>
      <c r="F252" s="309">
        <f>1.05*10/3</f>
        <v>3.5</v>
      </c>
      <c r="G252" s="314"/>
      <c r="H252" s="314">
        <f>$H$240</f>
        <v>0.2</v>
      </c>
      <c r="I252" s="314">
        <f t="shared" si="26"/>
        <v>0</v>
      </c>
      <c r="J252" s="313">
        <f t="shared" si="27"/>
        <v>0.70000000000000007</v>
      </c>
    </row>
    <row r="253" spans="1:10">
      <c r="A253" s="348"/>
      <c r="B253" s="309" t="s">
        <v>439</v>
      </c>
      <c r="C253" s="309">
        <v>11058</v>
      </c>
      <c r="D253" s="310" t="s">
        <v>554</v>
      </c>
      <c r="E253" s="309" t="s">
        <v>44</v>
      </c>
      <c r="F253" s="354">
        <f>1.05*4/3</f>
        <v>1.4000000000000001</v>
      </c>
      <c r="G253" s="314"/>
      <c r="H253" s="314">
        <f>$H$241</f>
        <v>0.31</v>
      </c>
      <c r="I253" s="314">
        <f t="shared" ref="I253" si="28">F253*G253</f>
        <v>0</v>
      </c>
      <c r="J253" s="313">
        <f>F253*H253</f>
        <v>0.43400000000000005</v>
      </c>
    </row>
    <row r="254" spans="1:10" ht="27">
      <c r="A254" s="322"/>
      <c r="B254" s="309" t="s">
        <v>471</v>
      </c>
      <c r="C254" s="309">
        <v>1</v>
      </c>
      <c r="D254" s="310" t="str">
        <f>$D$25</f>
        <v>Eletricista com encargos complementares e adicional de periculosidade</v>
      </c>
      <c r="E254" s="309" t="s">
        <v>82</v>
      </c>
      <c r="F254" s="309">
        <v>0.09</v>
      </c>
      <c r="G254" s="314"/>
      <c r="H254" s="311">
        <f>$J$25</f>
        <v>25.201999999999998</v>
      </c>
      <c r="I254" s="314">
        <f>F254*G254</f>
        <v>0</v>
      </c>
      <c r="J254" s="313">
        <f>F254*H254</f>
        <v>2.2681799999999996</v>
      </c>
    </row>
    <row r="255" spans="1:10" ht="27">
      <c r="A255" s="322"/>
      <c r="B255" s="309" t="s">
        <v>471</v>
      </c>
      <c r="C255" s="309">
        <v>2</v>
      </c>
      <c r="D255" s="310" t="str">
        <f>$D$37</f>
        <v>Auxiliar de eletricista com encargos complementares e adicional de periculosidade</v>
      </c>
      <c r="E255" s="309" t="s">
        <v>82</v>
      </c>
      <c r="F255" s="309">
        <v>0.09</v>
      </c>
      <c r="G255" s="314"/>
      <c r="H255" s="311">
        <f>$J$37</f>
        <v>18.998000000000001</v>
      </c>
      <c r="I255" s="314">
        <f>F255*G255</f>
        <v>0</v>
      </c>
      <c r="J255" s="313">
        <f>F255*H255</f>
        <v>1.7098200000000001</v>
      </c>
    </row>
    <row r="256" spans="1:10">
      <c r="A256" s="322"/>
      <c r="B256" s="309"/>
      <c r="C256" s="309"/>
      <c r="D256" s="310"/>
      <c r="E256" s="309"/>
      <c r="F256" s="309"/>
      <c r="G256" s="314"/>
      <c r="H256" s="311"/>
      <c r="I256" s="314"/>
      <c r="J256" s="313"/>
    </row>
    <row r="257" spans="1:10">
      <c r="A257" s="297" t="s">
        <v>558</v>
      </c>
      <c r="B257" s="309"/>
      <c r="C257" s="309"/>
      <c r="D257" s="310"/>
      <c r="E257" s="309"/>
      <c r="F257" s="309"/>
      <c r="G257" s="314"/>
      <c r="H257" s="311"/>
      <c r="I257" s="314"/>
      <c r="J257" s="313"/>
    </row>
    <row r="258" spans="1:10" ht="67.5">
      <c r="A258" s="332"/>
      <c r="B258" s="303" t="s">
        <v>471</v>
      </c>
      <c r="C258" s="303">
        <v>108</v>
      </c>
      <c r="D258" s="319" t="s">
        <v>559</v>
      </c>
      <c r="E258" s="303" t="s">
        <v>75</v>
      </c>
      <c r="F258" s="303">
        <v>1</v>
      </c>
      <c r="G258" s="320"/>
      <c r="H258" s="320"/>
      <c r="I258" s="320">
        <f>SUM(I259:I263)</f>
        <v>101.74066666666668</v>
      </c>
      <c r="J258" s="321">
        <f>SUM(J259:J263)</f>
        <v>11.492000000000001</v>
      </c>
    </row>
    <row r="259" spans="1:10" ht="40.5">
      <c r="A259" s="327"/>
      <c r="B259" s="309" t="s">
        <v>488</v>
      </c>
      <c r="C259" s="309" t="s">
        <v>745</v>
      </c>
      <c r="D259" s="310" t="s">
        <v>560</v>
      </c>
      <c r="E259" s="309" t="s">
        <v>75</v>
      </c>
      <c r="F259" s="309">
        <v>1.1000000000000001</v>
      </c>
      <c r="G259" s="312">
        <f>VLOOKUP(C259,'Fonte Cotação'!B:E,3,0)</f>
        <v>59.983333333333327</v>
      </c>
      <c r="H259" s="311"/>
      <c r="I259" s="314">
        <f>F259*G259</f>
        <v>65.981666666666669</v>
      </c>
      <c r="J259" s="313">
        <f>F259*H259</f>
        <v>0</v>
      </c>
    </row>
    <row r="260" spans="1:10" ht="40.5">
      <c r="A260" s="327"/>
      <c r="B260" s="309" t="s">
        <v>488</v>
      </c>
      <c r="C260" s="309" t="s">
        <v>747</v>
      </c>
      <c r="D260" s="310" t="s">
        <v>561</v>
      </c>
      <c r="E260" s="309" t="s">
        <v>75</v>
      </c>
      <c r="F260" s="309">
        <v>1.1000000000000001</v>
      </c>
      <c r="G260" s="312">
        <f>VLOOKUP(C260,'Fonte Cotação'!B:E,3,0)</f>
        <v>31</v>
      </c>
      <c r="H260" s="311"/>
      <c r="I260" s="314">
        <f>F260*G260</f>
        <v>34.1</v>
      </c>
      <c r="J260" s="313">
        <f>F260*H260</f>
        <v>0</v>
      </c>
    </row>
    <row r="261" spans="1:10" ht="27">
      <c r="A261" s="327"/>
      <c r="B261" s="309" t="s">
        <v>471</v>
      </c>
      <c r="C261" s="309">
        <v>1</v>
      </c>
      <c r="D261" s="310" t="str">
        <f>$D$25</f>
        <v>Eletricista com encargos complementares e adicional de periculosidade</v>
      </c>
      <c r="E261" s="309" t="s">
        <v>82</v>
      </c>
      <c r="F261" s="309">
        <v>0.26</v>
      </c>
      <c r="G261" s="311"/>
      <c r="H261" s="311">
        <f>$J$25</f>
        <v>25.201999999999998</v>
      </c>
      <c r="I261" s="314">
        <f>F261*G261</f>
        <v>0</v>
      </c>
      <c r="J261" s="313">
        <f>F261*H261</f>
        <v>6.5525199999999995</v>
      </c>
    </row>
    <row r="262" spans="1:10" ht="27">
      <c r="A262" s="327"/>
      <c r="B262" s="309" t="s">
        <v>471</v>
      </c>
      <c r="C262" s="309">
        <v>2</v>
      </c>
      <c r="D262" s="310" t="str">
        <f>$D$37</f>
        <v>Auxiliar de eletricista com encargos complementares e adicional de periculosidade</v>
      </c>
      <c r="E262" s="309" t="s">
        <v>82</v>
      </c>
      <c r="F262" s="309">
        <v>0.26</v>
      </c>
      <c r="G262" s="311"/>
      <c r="H262" s="311">
        <f>$J$37</f>
        <v>18.998000000000001</v>
      </c>
      <c r="I262" s="314">
        <f>F262*G262</f>
        <v>0</v>
      </c>
      <c r="J262" s="313">
        <f>F262*H262</f>
        <v>4.9394800000000005</v>
      </c>
    </row>
    <row r="263" spans="1:10" ht="40.5">
      <c r="A263" s="348"/>
      <c r="B263" s="309" t="s">
        <v>439</v>
      </c>
      <c r="C263" s="309">
        <v>7583</v>
      </c>
      <c r="D263" s="310" t="s">
        <v>533</v>
      </c>
      <c r="E263" s="309" t="s">
        <v>44</v>
      </c>
      <c r="F263" s="334">
        <v>2.1</v>
      </c>
      <c r="G263" s="314">
        <f>$H$211</f>
        <v>0.79</v>
      </c>
      <c r="I263" s="314">
        <f>F263*G263</f>
        <v>1.6590000000000003</v>
      </c>
      <c r="J263" s="313">
        <f>F263*H263</f>
        <v>0</v>
      </c>
    </row>
    <row r="264" spans="1:10">
      <c r="A264" s="327"/>
      <c r="B264" s="309"/>
      <c r="C264" s="309"/>
      <c r="D264" s="310"/>
      <c r="E264" s="309"/>
      <c r="F264" s="309"/>
      <c r="G264" s="311"/>
      <c r="H264" s="311"/>
      <c r="I264" s="314"/>
      <c r="J264" s="313"/>
    </row>
    <row r="265" spans="1:10">
      <c r="A265" s="297"/>
      <c r="B265" s="309"/>
      <c r="C265" s="309"/>
      <c r="D265" s="310"/>
      <c r="E265" s="309"/>
      <c r="F265" s="309"/>
      <c r="G265" s="314"/>
      <c r="H265" s="311"/>
      <c r="I265" s="314"/>
      <c r="J265" s="313"/>
    </row>
    <row r="266" spans="1:10">
      <c r="A266" s="297" t="s">
        <v>562</v>
      </c>
      <c r="B266" s="309"/>
      <c r="C266" s="309"/>
      <c r="D266" s="310"/>
      <c r="E266" s="309"/>
      <c r="F266" s="309"/>
      <c r="G266" s="311"/>
      <c r="H266" s="311"/>
      <c r="I266" s="314"/>
      <c r="J266" s="313"/>
    </row>
    <row r="267" spans="1:10" ht="27">
      <c r="A267" s="332"/>
      <c r="B267" s="303" t="s">
        <v>471</v>
      </c>
      <c r="C267" s="303">
        <v>109</v>
      </c>
      <c r="D267" s="319" t="s">
        <v>563</v>
      </c>
      <c r="E267" s="303" t="s">
        <v>44</v>
      </c>
      <c r="F267" s="303">
        <v>1</v>
      </c>
      <c r="G267" s="320"/>
      <c r="H267" s="320"/>
      <c r="I267" s="320">
        <f>SUM(I268:I270)</f>
        <v>7.49</v>
      </c>
      <c r="J267" s="321">
        <f>SUM(J268:J270)</f>
        <v>1.7679999999999998</v>
      </c>
    </row>
    <row r="268" spans="1:10" s="357" customFormat="1" ht="27">
      <c r="A268" s="327"/>
      <c r="B268" s="309" t="s">
        <v>488</v>
      </c>
      <c r="C268" s="309" t="s">
        <v>750</v>
      </c>
      <c r="D268" s="310" t="s">
        <v>617</v>
      </c>
      <c r="E268" s="309" t="s">
        <v>75</v>
      </c>
      <c r="F268" s="309">
        <v>1</v>
      </c>
      <c r="G268" s="312">
        <f>VLOOKUP(C268,'Fonte Cotação'!B:E,3,0)</f>
        <v>7.49</v>
      </c>
      <c r="H268" s="311"/>
      <c r="I268" s="314">
        <f>F268*G268</f>
        <v>7.49</v>
      </c>
      <c r="J268" s="313">
        <f>F268*H268</f>
        <v>0</v>
      </c>
    </row>
    <row r="269" spans="1:10" ht="27">
      <c r="A269" s="327"/>
      <c r="B269" s="309" t="s">
        <v>471</v>
      </c>
      <c r="C269" s="309">
        <v>1</v>
      </c>
      <c r="D269" s="310" t="str">
        <f>$D$25</f>
        <v>Eletricista com encargos complementares e adicional de periculosidade</v>
      </c>
      <c r="E269" s="309" t="s">
        <v>82</v>
      </c>
      <c r="F269" s="309">
        <v>0.04</v>
      </c>
      <c r="G269" s="311"/>
      <c r="H269" s="311">
        <f>$J$25</f>
        <v>25.201999999999998</v>
      </c>
      <c r="I269" s="314">
        <f>F269*G269</f>
        <v>0</v>
      </c>
      <c r="J269" s="313">
        <f>F269*H269</f>
        <v>1.0080799999999999</v>
      </c>
    </row>
    <row r="270" spans="1:10" ht="27">
      <c r="A270" s="327"/>
      <c r="B270" s="309" t="s">
        <v>471</v>
      </c>
      <c r="C270" s="309">
        <v>2</v>
      </c>
      <c r="D270" s="310" t="str">
        <f>$D$37</f>
        <v>Auxiliar de eletricista com encargos complementares e adicional de periculosidade</v>
      </c>
      <c r="E270" s="309" t="s">
        <v>82</v>
      </c>
      <c r="F270" s="309">
        <v>0.04</v>
      </c>
      <c r="G270" s="311"/>
      <c r="H270" s="311">
        <f>$J$37</f>
        <v>18.998000000000001</v>
      </c>
      <c r="I270" s="314">
        <f>F270*G270</f>
        <v>0</v>
      </c>
      <c r="J270" s="313">
        <f>F270*H270</f>
        <v>0.75992000000000004</v>
      </c>
    </row>
    <row r="271" spans="1:10">
      <c r="A271" s="327"/>
      <c r="B271" s="309"/>
      <c r="C271" s="309"/>
      <c r="D271" s="310"/>
      <c r="E271" s="309"/>
      <c r="F271" s="309"/>
      <c r="G271" s="311"/>
      <c r="H271" s="311"/>
      <c r="I271" s="314"/>
      <c r="J271" s="313"/>
    </row>
    <row r="272" spans="1:10">
      <c r="A272" s="297" t="s">
        <v>564</v>
      </c>
      <c r="B272" s="309"/>
      <c r="C272" s="309"/>
      <c r="D272" s="310"/>
      <c r="E272" s="309"/>
      <c r="F272" s="309"/>
      <c r="G272" s="311"/>
      <c r="H272" s="311"/>
      <c r="I272" s="314"/>
      <c r="J272" s="313"/>
    </row>
    <row r="273" spans="1:10" ht="54">
      <c r="A273" s="332"/>
      <c r="B273" s="303" t="s">
        <v>471</v>
      </c>
      <c r="C273" s="303">
        <v>110</v>
      </c>
      <c r="D273" s="319" t="s">
        <v>601</v>
      </c>
      <c r="E273" s="303" t="s">
        <v>44</v>
      </c>
      <c r="F273" s="303">
        <v>1</v>
      </c>
      <c r="G273" s="320"/>
      <c r="H273" s="320"/>
      <c r="I273" s="320">
        <f>SUM(I274:I276)</f>
        <v>62.985602831175093</v>
      </c>
      <c r="J273" s="321">
        <f>SUM(J274:J276)</f>
        <v>5.7460000000000004</v>
      </c>
    </row>
    <row r="274" spans="1:10" ht="54">
      <c r="A274" s="327"/>
      <c r="B274" s="309" t="s">
        <v>488</v>
      </c>
      <c r="C274" s="309" t="s">
        <v>751</v>
      </c>
      <c r="D274" s="310" t="s">
        <v>601</v>
      </c>
      <c r="E274" s="309" t="s">
        <v>75</v>
      </c>
      <c r="F274" s="309">
        <v>1</v>
      </c>
      <c r="G274" s="312">
        <f>VLOOKUP(C274,'Fonte Cotação'!B:E,3,0)</f>
        <v>62.985602831175093</v>
      </c>
      <c r="H274" s="311"/>
      <c r="I274" s="314">
        <f>F274*G274</f>
        <v>62.985602831175093</v>
      </c>
      <c r="J274" s="313">
        <f>F274*H274</f>
        <v>0</v>
      </c>
    </row>
    <row r="275" spans="1:10" ht="27">
      <c r="A275" s="327"/>
      <c r="B275" s="309" t="s">
        <v>471</v>
      </c>
      <c r="C275" s="309">
        <v>1</v>
      </c>
      <c r="D275" s="310" t="str">
        <f>$D$25</f>
        <v>Eletricista com encargos complementares e adicional de periculosidade</v>
      </c>
      <c r="E275" s="309" t="s">
        <v>82</v>
      </c>
      <c r="F275" s="309">
        <v>0.13</v>
      </c>
      <c r="G275" s="311"/>
      <c r="H275" s="311">
        <f>$J$25</f>
        <v>25.201999999999998</v>
      </c>
      <c r="I275" s="314">
        <f>F275*G275</f>
        <v>0</v>
      </c>
      <c r="J275" s="313">
        <f>F275*H275</f>
        <v>3.2762599999999997</v>
      </c>
    </row>
    <row r="276" spans="1:10" ht="27">
      <c r="A276" s="327"/>
      <c r="B276" s="309" t="s">
        <v>471</v>
      </c>
      <c r="C276" s="309">
        <v>2</v>
      </c>
      <c r="D276" s="310" t="str">
        <f>$D$37</f>
        <v>Auxiliar de eletricista com encargos complementares e adicional de periculosidade</v>
      </c>
      <c r="E276" s="309" t="s">
        <v>82</v>
      </c>
      <c r="F276" s="309">
        <v>0.13</v>
      </c>
      <c r="G276" s="311"/>
      <c r="H276" s="311">
        <f>$J$37</f>
        <v>18.998000000000001</v>
      </c>
      <c r="I276" s="314">
        <f>F276*G276</f>
        <v>0</v>
      </c>
      <c r="J276" s="313">
        <f>F276*H276</f>
        <v>2.4697400000000003</v>
      </c>
    </row>
    <row r="277" spans="1:10">
      <c r="A277" s="327"/>
      <c r="B277" s="309"/>
      <c r="C277" s="309"/>
      <c r="D277" s="310"/>
      <c r="E277" s="309"/>
      <c r="F277" s="309"/>
      <c r="G277" s="311"/>
      <c r="H277" s="311"/>
      <c r="I277" s="314"/>
      <c r="J277" s="313"/>
    </row>
    <row r="278" spans="1:10">
      <c r="A278" s="297" t="s">
        <v>565</v>
      </c>
      <c r="B278" s="309"/>
      <c r="C278" s="309"/>
      <c r="D278" s="310"/>
      <c r="E278" s="309"/>
      <c r="F278" s="309"/>
      <c r="G278" s="311"/>
      <c r="H278" s="311"/>
      <c r="I278" s="314"/>
      <c r="J278" s="313"/>
    </row>
    <row r="279" spans="1:10" ht="54">
      <c r="A279" s="332"/>
      <c r="B279" s="303" t="s">
        <v>471</v>
      </c>
      <c r="C279" s="303">
        <v>111</v>
      </c>
      <c r="D279" s="319" t="s">
        <v>566</v>
      </c>
      <c r="E279" s="303" t="s">
        <v>44</v>
      </c>
      <c r="F279" s="303">
        <v>1</v>
      </c>
      <c r="G279" s="320"/>
      <c r="H279" s="320"/>
      <c r="I279" s="320">
        <f>SUM(I280:I282)</f>
        <v>22.95</v>
      </c>
      <c r="J279" s="321">
        <f>SUM(J280:J282)</f>
        <v>7.5140000000000011</v>
      </c>
    </row>
    <row r="280" spans="1:10" ht="40.5">
      <c r="A280" s="327"/>
      <c r="B280" s="309" t="s">
        <v>488</v>
      </c>
      <c r="C280" s="309" t="s">
        <v>752</v>
      </c>
      <c r="D280" s="310" t="s">
        <v>680</v>
      </c>
      <c r="E280" s="309" t="s">
        <v>44</v>
      </c>
      <c r="F280" s="309">
        <v>1</v>
      </c>
      <c r="G280" s="312">
        <f>VLOOKUP(C280,'Fonte Cotação'!B:E,3,0)</f>
        <v>22.95</v>
      </c>
      <c r="H280" s="311">
        <v>0</v>
      </c>
      <c r="I280" s="314">
        <f>F280*G280</f>
        <v>22.95</v>
      </c>
      <c r="J280" s="313">
        <f>F280*H280</f>
        <v>0</v>
      </c>
    </row>
    <row r="281" spans="1:10" ht="27">
      <c r="A281" s="327"/>
      <c r="B281" s="309" t="s">
        <v>471</v>
      </c>
      <c r="C281" s="309">
        <v>1</v>
      </c>
      <c r="D281" s="310" t="str">
        <f>$D$25</f>
        <v>Eletricista com encargos complementares e adicional de periculosidade</v>
      </c>
      <c r="E281" s="309" t="s">
        <v>82</v>
      </c>
      <c r="F281" s="309">
        <v>0.17</v>
      </c>
      <c r="G281" s="311"/>
      <c r="H281" s="311">
        <f>$J$25</f>
        <v>25.201999999999998</v>
      </c>
      <c r="I281" s="314">
        <f>F281*G281</f>
        <v>0</v>
      </c>
      <c r="J281" s="313">
        <f>F281*H281</f>
        <v>4.2843400000000003</v>
      </c>
    </row>
    <row r="282" spans="1:10" ht="27">
      <c r="A282" s="327"/>
      <c r="B282" s="309" t="s">
        <v>471</v>
      </c>
      <c r="C282" s="309">
        <v>2</v>
      </c>
      <c r="D282" s="310" t="str">
        <f>$D$37</f>
        <v>Auxiliar de eletricista com encargos complementares e adicional de periculosidade</v>
      </c>
      <c r="E282" s="309" t="s">
        <v>82</v>
      </c>
      <c r="F282" s="309">
        <v>0.17</v>
      </c>
      <c r="G282" s="311"/>
      <c r="H282" s="311">
        <f>$J$37</f>
        <v>18.998000000000001</v>
      </c>
      <c r="I282" s="314">
        <f>F282*G282</f>
        <v>0</v>
      </c>
      <c r="J282" s="313">
        <f>F282*H282</f>
        <v>3.2296600000000004</v>
      </c>
    </row>
    <row r="283" spans="1:10">
      <c r="A283" s="327"/>
      <c r="B283" s="309"/>
      <c r="C283" s="309"/>
      <c r="D283" s="310"/>
      <c r="E283" s="309"/>
      <c r="F283" s="309"/>
      <c r="G283" s="311"/>
      <c r="H283" s="311"/>
      <c r="I283" s="314"/>
      <c r="J283" s="313"/>
    </row>
    <row r="284" spans="1:10">
      <c r="A284" s="297" t="s">
        <v>567</v>
      </c>
      <c r="B284" s="309"/>
      <c r="C284" s="309"/>
      <c r="D284" s="310"/>
      <c r="E284" s="309"/>
      <c r="F284" s="309"/>
      <c r="G284" s="311"/>
      <c r="H284" s="311"/>
      <c r="I284" s="314"/>
      <c r="J284" s="313"/>
    </row>
    <row r="285" spans="1:10" ht="54">
      <c r="A285" s="332"/>
      <c r="B285" s="303" t="s">
        <v>471</v>
      </c>
      <c r="C285" s="303">
        <v>112</v>
      </c>
      <c r="D285" s="319" t="s">
        <v>568</v>
      </c>
      <c r="E285" s="303" t="s">
        <v>44</v>
      </c>
      <c r="F285" s="303">
        <v>1</v>
      </c>
      <c r="G285" s="320"/>
      <c r="H285" s="320"/>
      <c r="I285" s="320">
        <f>SUM(I286:I288)</f>
        <v>22.95</v>
      </c>
      <c r="J285" s="321">
        <f>SUM(J286:J288)</f>
        <v>7.5140000000000011</v>
      </c>
    </row>
    <row r="286" spans="1:10" ht="40.5">
      <c r="A286" s="327"/>
      <c r="B286" s="309" t="s">
        <v>488</v>
      </c>
      <c r="C286" s="309" t="s">
        <v>753</v>
      </c>
      <c r="D286" s="310" t="s">
        <v>681</v>
      </c>
      <c r="E286" s="309" t="s">
        <v>44</v>
      </c>
      <c r="F286" s="309">
        <v>1</v>
      </c>
      <c r="G286" s="312">
        <f>VLOOKUP(C286,'Fonte Cotação'!B:E,3,0)</f>
        <v>22.95</v>
      </c>
      <c r="H286" s="311">
        <v>0</v>
      </c>
      <c r="I286" s="314">
        <f>F286*G286</f>
        <v>22.95</v>
      </c>
      <c r="J286" s="313">
        <f>F286*H286</f>
        <v>0</v>
      </c>
    </row>
    <row r="287" spans="1:10" ht="27">
      <c r="A287" s="327"/>
      <c r="B287" s="309" t="s">
        <v>471</v>
      </c>
      <c r="C287" s="309">
        <v>1</v>
      </c>
      <c r="D287" s="310" t="str">
        <f>$D$25</f>
        <v>Eletricista com encargos complementares e adicional de periculosidade</v>
      </c>
      <c r="E287" s="309" t="s">
        <v>82</v>
      </c>
      <c r="F287" s="309">
        <v>0.17</v>
      </c>
      <c r="G287" s="311"/>
      <c r="H287" s="311">
        <f>$J$25</f>
        <v>25.201999999999998</v>
      </c>
      <c r="I287" s="314">
        <f>F287*G287</f>
        <v>0</v>
      </c>
      <c r="J287" s="313">
        <f>F287*H287</f>
        <v>4.2843400000000003</v>
      </c>
    </row>
    <row r="288" spans="1:10" ht="27">
      <c r="A288" s="327"/>
      <c r="B288" s="309" t="s">
        <v>471</v>
      </c>
      <c r="C288" s="309">
        <v>2</v>
      </c>
      <c r="D288" s="310" t="str">
        <f>$D$37</f>
        <v>Auxiliar de eletricista com encargos complementares e adicional de periculosidade</v>
      </c>
      <c r="E288" s="309" t="s">
        <v>82</v>
      </c>
      <c r="F288" s="309">
        <v>0.17</v>
      </c>
      <c r="G288" s="311"/>
      <c r="H288" s="311">
        <f>$J$37</f>
        <v>18.998000000000001</v>
      </c>
      <c r="I288" s="314">
        <f>F288*G288</f>
        <v>0</v>
      </c>
      <c r="J288" s="313">
        <f>F288*H288</f>
        <v>3.2296600000000004</v>
      </c>
    </row>
    <row r="289" spans="1:10">
      <c r="A289" s="327"/>
      <c r="B289" s="309"/>
      <c r="C289" s="309"/>
      <c r="D289" s="310"/>
      <c r="E289" s="309"/>
      <c r="F289" s="309"/>
      <c r="G289" s="311"/>
      <c r="H289" s="311"/>
      <c r="I289" s="314"/>
      <c r="J289" s="313"/>
    </row>
    <row r="290" spans="1:10">
      <c r="A290" s="297" t="s">
        <v>569</v>
      </c>
      <c r="B290" s="309"/>
      <c r="C290" s="309"/>
      <c r="D290" s="310"/>
      <c r="E290" s="309"/>
      <c r="F290" s="309"/>
      <c r="G290" s="311"/>
      <c r="H290" s="311"/>
      <c r="I290" s="314"/>
      <c r="J290" s="313"/>
    </row>
    <row r="291" spans="1:10" ht="54">
      <c r="A291" s="332"/>
      <c r="B291" s="303" t="s">
        <v>471</v>
      </c>
      <c r="C291" s="303">
        <v>113</v>
      </c>
      <c r="D291" s="319" t="s">
        <v>618</v>
      </c>
      <c r="E291" s="303" t="s">
        <v>44</v>
      </c>
      <c r="F291" s="303">
        <v>1</v>
      </c>
      <c r="G291" s="320"/>
      <c r="H291" s="320"/>
      <c r="I291" s="320">
        <f>SUM(I292:I294)</f>
        <v>51.64</v>
      </c>
      <c r="J291" s="321">
        <f>SUM(J292:J294)</f>
        <v>7.5140000000000011</v>
      </c>
    </row>
    <row r="292" spans="1:10" s="357" customFormat="1" ht="54">
      <c r="A292" s="327"/>
      <c r="B292" s="309" t="s">
        <v>488</v>
      </c>
      <c r="C292" s="309" t="s">
        <v>754</v>
      </c>
      <c r="D292" s="310" t="s">
        <v>618</v>
      </c>
      <c r="E292" s="309" t="s">
        <v>82</v>
      </c>
      <c r="F292" s="309">
        <v>1</v>
      </c>
      <c r="G292" s="312">
        <f>VLOOKUP(C292,'Fonte Cotação'!B:E,3,0)</f>
        <v>51.64</v>
      </c>
      <c r="H292" s="311"/>
      <c r="I292" s="314">
        <f>F292*G292</f>
        <v>51.64</v>
      </c>
      <c r="J292" s="313">
        <f>F292*H292</f>
        <v>0</v>
      </c>
    </row>
    <row r="293" spans="1:10" ht="27">
      <c r="A293" s="327"/>
      <c r="B293" s="309" t="s">
        <v>471</v>
      </c>
      <c r="C293" s="309">
        <v>1</v>
      </c>
      <c r="D293" s="310" t="str">
        <f>$D$25</f>
        <v>Eletricista com encargos complementares e adicional de periculosidade</v>
      </c>
      <c r="E293" s="309" t="s">
        <v>82</v>
      </c>
      <c r="F293" s="309">
        <v>0.17</v>
      </c>
      <c r="G293" s="311"/>
      <c r="H293" s="311">
        <f>$J$25</f>
        <v>25.201999999999998</v>
      </c>
      <c r="I293" s="314">
        <f>F293*G293</f>
        <v>0</v>
      </c>
      <c r="J293" s="313">
        <f>F293*H293</f>
        <v>4.2843400000000003</v>
      </c>
    </row>
    <row r="294" spans="1:10" ht="27">
      <c r="A294" s="327"/>
      <c r="B294" s="309" t="s">
        <v>471</v>
      </c>
      <c r="C294" s="309">
        <v>2</v>
      </c>
      <c r="D294" s="310" t="str">
        <f>$D$37</f>
        <v>Auxiliar de eletricista com encargos complementares e adicional de periculosidade</v>
      </c>
      <c r="E294" s="309" t="s">
        <v>82</v>
      </c>
      <c r="F294" s="309">
        <v>0.17</v>
      </c>
      <c r="G294" s="311"/>
      <c r="H294" s="311">
        <f>$J$37</f>
        <v>18.998000000000001</v>
      </c>
      <c r="I294" s="314">
        <f>F294*G294</f>
        <v>0</v>
      </c>
      <c r="J294" s="313">
        <f>F294*H294</f>
        <v>3.2296600000000004</v>
      </c>
    </row>
    <row r="295" spans="1:10">
      <c r="A295" s="327"/>
      <c r="B295" s="309"/>
      <c r="C295" s="309"/>
      <c r="D295" s="310"/>
      <c r="E295" s="309"/>
      <c r="F295" s="309"/>
      <c r="G295" s="311"/>
      <c r="H295" s="311"/>
      <c r="I295" s="314"/>
      <c r="J295" s="313"/>
    </row>
    <row r="296" spans="1:10">
      <c r="A296" s="297" t="s">
        <v>570</v>
      </c>
      <c r="B296" s="309"/>
      <c r="C296" s="309"/>
      <c r="D296" s="310"/>
      <c r="E296" s="309"/>
      <c r="F296" s="309"/>
      <c r="G296" s="311"/>
      <c r="H296" s="311"/>
      <c r="I296" s="314"/>
      <c r="J296" s="313"/>
    </row>
    <row r="297" spans="1:10" ht="67.5">
      <c r="A297" s="332"/>
      <c r="B297" s="303" t="s">
        <v>471</v>
      </c>
      <c r="C297" s="303">
        <v>114</v>
      </c>
      <c r="D297" s="319" t="s">
        <v>685</v>
      </c>
      <c r="E297" s="303" t="s">
        <v>44</v>
      </c>
      <c r="F297" s="303">
        <v>1</v>
      </c>
      <c r="G297" s="320"/>
      <c r="H297" s="320"/>
      <c r="I297" s="320">
        <f>SUM(I298:I300)</f>
        <v>27.99</v>
      </c>
      <c r="J297" s="321">
        <f>SUM(J298:J300)</f>
        <v>3.0940000000000003</v>
      </c>
    </row>
    <row r="298" spans="1:10" ht="67.5">
      <c r="A298" s="327"/>
      <c r="B298" s="309" t="s">
        <v>488</v>
      </c>
      <c r="C298" s="336" t="str">
        <f>$C$100</f>
        <v>Cotação 19</v>
      </c>
      <c r="D298" s="310" t="s">
        <v>493</v>
      </c>
      <c r="E298" s="336" t="s">
        <v>44</v>
      </c>
      <c r="F298" s="336">
        <v>1</v>
      </c>
      <c r="G298" s="337">
        <f>$G$100</f>
        <v>27.99</v>
      </c>
      <c r="H298" s="311"/>
      <c r="I298" s="314">
        <f>F298*G298</f>
        <v>27.99</v>
      </c>
      <c r="J298" s="313">
        <f>F298*H298</f>
        <v>0</v>
      </c>
    </row>
    <row r="299" spans="1:10" ht="27">
      <c r="A299" s="327"/>
      <c r="B299" s="309" t="s">
        <v>471</v>
      </c>
      <c r="C299" s="309">
        <v>1</v>
      </c>
      <c r="D299" s="310" t="str">
        <f>$D$25</f>
        <v>Eletricista com encargos complementares e adicional de periculosidade</v>
      </c>
      <c r="E299" s="309" t="s">
        <v>82</v>
      </c>
      <c r="F299" s="309">
        <v>7.0000000000000007E-2</v>
      </c>
      <c r="G299" s="311"/>
      <c r="H299" s="311">
        <f>$J$25</f>
        <v>25.201999999999998</v>
      </c>
      <c r="I299" s="314">
        <f>F299*G299</f>
        <v>0</v>
      </c>
      <c r="J299" s="313">
        <f>F299*H299</f>
        <v>1.76414</v>
      </c>
    </row>
    <row r="300" spans="1:10" ht="27">
      <c r="A300" s="327"/>
      <c r="B300" s="309" t="s">
        <v>471</v>
      </c>
      <c r="C300" s="309">
        <v>2</v>
      </c>
      <c r="D300" s="310" t="str">
        <f>$D$37</f>
        <v>Auxiliar de eletricista com encargos complementares e adicional de periculosidade</v>
      </c>
      <c r="E300" s="309" t="s">
        <v>82</v>
      </c>
      <c r="F300" s="309">
        <v>7.0000000000000007E-2</v>
      </c>
      <c r="G300" s="311"/>
      <c r="H300" s="311">
        <f>$J$37</f>
        <v>18.998000000000001</v>
      </c>
      <c r="I300" s="314">
        <f>F300*G300</f>
        <v>0</v>
      </c>
      <c r="J300" s="313">
        <f>F300*H300</f>
        <v>1.3298600000000003</v>
      </c>
    </row>
    <row r="301" spans="1:10">
      <c r="A301" s="327"/>
      <c r="B301" s="309"/>
      <c r="C301" s="309"/>
      <c r="D301" s="310"/>
      <c r="E301" s="309"/>
      <c r="F301" s="309"/>
      <c r="G301" s="311"/>
      <c r="H301" s="311"/>
      <c r="I301" s="311"/>
      <c r="J301" s="33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pane ySplit="9" topLeftCell="A171" activePane="bottomLeft" state="frozen"/>
      <selection pane="bottomLeft" activeCell="N209" sqref="N209"/>
    </sheetView>
  </sheetViews>
  <sheetFormatPr defaultRowHeight="15"/>
  <cols>
    <col min="1" max="1" width="14.28515625" style="261" customWidth="1"/>
    <col min="2" max="2" width="19.140625" style="261" customWidth="1"/>
    <col min="3" max="3" width="8" style="261" bestFit="1" customWidth="1"/>
    <col min="4" max="4" width="34.85546875" style="261" customWidth="1"/>
    <col min="5" max="5" width="8.85546875" style="261" bestFit="1" customWidth="1"/>
    <col min="6" max="6" width="11.140625" style="261" customWidth="1"/>
    <col min="7" max="8" width="8.7109375" style="261" bestFit="1" customWidth="1"/>
    <col min="9" max="9" width="11.28515625" style="261" customWidth="1"/>
    <col min="10" max="10" width="9.85546875" style="261" bestFit="1" customWidth="1"/>
    <col min="11" max="16384" width="9.140625" style="261"/>
  </cols>
  <sheetData>
    <row r="1" spans="1:10" ht="15.75" thickBot="1">
      <c r="A1" s="253" t="s">
        <v>422</v>
      </c>
      <c r="B1" s="254" t="s">
        <v>423</v>
      </c>
      <c r="C1" s="255"/>
      <c r="D1" s="256"/>
      <c r="E1" s="257"/>
      <c r="F1" s="257"/>
      <c r="G1" s="257"/>
      <c r="H1" s="258"/>
      <c r="I1" s="259" t="s">
        <v>424</v>
      </c>
      <c r="J1" s="260">
        <f>'BDI e Encargos'!C14</f>
        <v>0.81850000000000001</v>
      </c>
    </row>
    <row r="2" spans="1:10" ht="16.5" thickTop="1" thickBot="1">
      <c r="A2" s="262" t="s">
        <v>425</v>
      </c>
      <c r="B2" s="263" t="s">
        <v>273</v>
      </c>
      <c r="C2" s="264"/>
      <c r="D2" s="265"/>
      <c r="E2" s="266"/>
      <c r="F2" s="266"/>
      <c r="G2" s="266"/>
      <c r="H2" s="267"/>
      <c r="I2" s="268" t="s">
        <v>426</v>
      </c>
      <c r="J2" s="269">
        <f>'BDI e Encargos'!C15</f>
        <v>0.45739999999999997</v>
      </c>
    </row>
    <row r="3" spans="1:10" ht="16.5" thickTop="1" thickBot="1">
      <c r="A3" s="262" t="s">
        <v>427</v>
      </c>
      <c r="B3" s="263" t="s">
        <v>428</v>
      </c>
      <c r="C3" s="264"/>
      <c r="D3" s="270"/>
      <c r="E3" s="271"/>
      <c r="F3" s="271"/>
      <c r="G3" s="271"/>
      <c r="H3" s="272"/>
      <c r="I3" s="268" t="s">
        <v>1</v>
      </c>
      <c r="J3" s="273">
        <f>'BDI e Encargos'!C17</f>
        <v>0.24968584787892145</v>
      </c>
    </row>
    <row r="4" spans="1:10" ht="16.5" thickTop="1" thickBot="1">
      <c r="A4" s="274"/>
      <c r="B4" s="275"/>
      <c r="C4" s="276"/>
      <c r="D4" s="270"/>
      <c r="E4" s="271"/>
      <c r="F4" s="271"/>
      <c r="G4" s="271"/>
      <c r="H4" s="272"/>
      <c r="I4" s="268" t="s">
        <v>429</v>
      </c>
      <c r="J4" s="273">
        <f>'BDI e Encargos'!C19</f>
        <v>0.1497</v>
      </c>
    </row>
    <row r="5" spans="1:10" ht="16.5" thickTop="1" thickBot="1">
      <c r="A5" s="277"/>
      <c r="B5" s="271"/>
      <c r="C5" s="278"/>
      <c r="D5" s="270"/>
      <c r="E5" s="271"/>
      <c r="F5" s="271"/>
      <c r="G5" s="271"/>
      <c r="H5" s="272"/>
      <c r="I5" s="268" t="s">
        <v>430</v>
      </c>
      <c r="J5" s="79">
        <f>Orçamento!N3</f>
        <v>44409</v>
      </c>
    </row>
    <row r="6" spans="1:10" ht="16.5" thickTop="1" thickBot="1">
      <c r="A6" s="274"/>
      <c r="B6" s="275"/>
      <c r="C6" s="276"/>
      <c r="D6" s="270"/>
      <c r="E6" s="271"/>
      <c r="F6" s="271"/>
      <c r="G6" s="271"/>
      <c r="H6" s="272"/>
      <c r="I6" s="268"/>
      <c r="J6" s="279"/>
    </row>
    <row r="7" spans="1:10" ht="16.5" thickTop="1" thickBot="1">
      <c r="A7" s="274" t="s">
        <v>431</v>
      </c>
      <c r="B7" s="280" t="s">
        <v>571</v>
      </c>
      <c r="C7" s="280"/>
      <c r="D7" s="270"/>
      <c r="E7" s="271"/>
      <c r="F7" s="271"/>
      <c r="G7" s="271"/>
      <c r="H7" s="271"/>
      <c r="I7" s="268"/>
      <c r="J7" s="281"/>
    </row>
    <row r="8" spans="1:10">
      <c r="A8" s="282"/>
      <c r="B8" s="283"/>
      <c r="C8" s="283"/>
      <c r="D8" s="284"/>
      <c r="E8" s="285"/>
      <c r="F8" s="285"/>
      <c r="G8" s="285"/>
      <c r="H8" s="285"/>
      <c r="I8" s="286"/>
      <c r="J8" s="287"/>
    </row>
    <row r="9" spans="1:10" ht="63.75">
      <c r="A9" s="288" t="s">
        <v>432</v>
      </c>
      <c r="B9" s="288" t="s">
        <v>11</v>
      </c>
      <c r="C9" s="288" t="s">
        <v>12</v>
      </c>
      <c r="D9" s="288" t="s">
        <v>13</v>
      </c>
      <c r="E9" s="288" t="s">
        <v>14</v>
      </c>
      <c r="F9" s="288" t="s">
        <v>15</v>
      </c>
      <c r="G9" s="288" t="s">
        <v>433</v>
      </c>
      <c r="H9" s="288" t="s">
        <v>434</v>
      </c>
      <c r="I9" s="288" t="s">
        <v>851</v>
      </c>
      <c r="J9" s="288" t="s">
        <v>852</v>
      </c>
    </row>
    <row r="10" spans="1:10">
      <c r="A10" s="289"/>
      <c r="B10" s="290"/>
      <c r="C10" s="290"/>
      <c r="D10" s="291"/>
      <c r="E10" s="290"/>
      <c r="F10" s="290"/>
      <c r="G10" s="290"/>
      <c r="H10" s="290"/>
      <c r="I10" s="290"/>
      <c r="J10" s="292"/>
    </row>
    <row r="11" spans="1:10">
      <c r="A11" s="293"/>
      <c r="B11" s="294"/>
      <c r="C11" s="294"/>
      <c r="D11" s="295"/>
      <c r="E11" s="294"/>
      <c r="F11" s="294"/>
      <c r="G11" s="294"/>
      <c r="H11" s="294"/>
      <c r="I11" s="294"/>
      <c r="J11" s="296"/>
    </row>
    <row r="12" spans="1:10">
      <c r="A12" s="297"/>
      <c r="B12" s="298"/>
      <c r="C12" s="298"/>
      <c r="D12" s="299"/>
      <c r="E12" s="298"/>
      <c r="F12" s="298"/>
      <c r="G12" s="300"/>
      <c r="H12" s="300"/>
      <c r="I12" s="300"/>
      <c r="J12" s="301"/>
    </row>
    <row r="13" spans="1:10" ht="27">
      <c r="A13" s="303">
        <v>88484</v>
      </c>
      <c r="B13" s="303" t="s">
        <v>776</v>
      </c>
      <c r="C13" s="303">
        <v>88484</v>
      </c>
      <c r="D13" s="304" t="s">
        <v>79</v>
      </c>
      <c r="E13" s="303" t="s">
        <v>104</v>
      </c>
      <c r="F13" s="303"/>
      <c r="G13" s="305"/>
      <c r="H13" s="306"/>
      <c r="I13" s="307">
        <v>0.98</v>
      </c>
      <c r="J13" s="308">
        <v>1.47</v>
      </c>
    </row>
    <row r="14" spans="1:10" ht="27">
      <c r="A14" s="297"/>
      <c r="B14" s="309" t="s">
        <v>777</v>
      </c>
      <c r="C14" s="309">
        <v>6085</v>
      </c>
      <c r="D14" s="310" t="s">
        <v>778</v>
      </c>
      <c r="E14" s="309" t="s">
        <v>39</v>
      </c>
      <c r="F14" s="309">
        <v>0.16</v>
      </c>
      <c r="G14" s="311">
        <v>6.65</v>
      </c>
      <c r="H14" s="312"/>
      <c r="I14" s="300"/>
      <c r="J14" s="313"/>
    </row>
    <row r="15" spans="1:10" ht="27">
      <c r="A15" s="297"/>
      <c r="B15" s="309" t="s">
        <v>779</v>
      </c>
      <c r="C15" s="309">
        <v>88310</v>
      </c>
      <c r="D15" s="310" t="s">
        <v>98</v>
      </c>
      <c r="E15" s="309" t="s">
        <v>780</v>
      </c>
      <c r="F15" s="309">
        <v>5.0999999999999997E-2</v>
      </c>
      <c r="G15" s="314"/>
      <c r="H15" s="315">
        <v>21.13</v>
      </c>
      <c r="I15" s="300"/>
      <c r="J15" s="313"/>
    </row>
    <row r="16" spans="1:10" ht="27">
      <c r="A16" s="297"/>
      <c r="B16" s="309" t="s">
        <v>779</v>
      </c>
      <c r="C16" s="309">
        <v>88316</v>
      </c>
      <c r="D16" s="310" t="s">
        <v>781</v>
      </c>
      <c r="E16" s="309" t="s">
        <v>780</v>
      </c>
      <c r="F16" s="309">
        <v>1.9E-2</v>
      </c>
      <c r="G16" s="314"/>
      <c r="H16" s="315">
        <v>16.86</v>
      </c>
      <c r="I16" s="300"/>
      <c r="J16" s="313"/>
    </row>
    <row r="17" spans="1:10">
      <c r="A17" s="297"/>
      <c r="B17" s="309" t="s">
        <v>93</v>
      </c>
      <c r="C17" s="309" t="s">
        <v>782</v>
      </c>
      <c r="D17" s="310" t="s">
        <v>782</v>
      </c>
      <c r="E17" s="309" t="s">
        <v>782</v>
      </c>
      <c r="F17" s="309" t="s">
        <v>782</v>
      </c>
      <c r="G17" s="314" t="s">
        <v>782</v>
      </c>
      <c r="H17" s="315"/>
      <c r="I17" s="300"/>
      <c r="J17" s="313"/>
    </row>
    <row r="18" spans="1:10" ht="27">
      <c r="A18" s="303">
        <f>C18</f>
        <v>88485</v>
      </c>
      <c r="B18" s="303" t="s">
        <v>776</v>
      </c>
      <c r="C18" s="303">
        <v>88485</v>
      </c>
      <c r="D18" s="304" t="s">
        <v>80</v>
      </c>
      <c r="E18" s="303" t="s">
        <v>104</v>
      </c>
      <c r="F18" s="303"/>
      <c r="G18" s="305"/>
      <c r="H18" s="306"/>
      <c r="I18" s="307">
        <v>0.74</v>
      </c>
      <c r="J18" s="308">
        <v>1.37</v>
      </c>
    </row>
    <row r="19" spans="1:10" ht="27">
      <c r="A19" s="297"/>
      <c r="B19" s="309" t="s">
        <v>777</v>
      </c>
      <c r="C19" s="309">
        <v>6085</v>
      </c>
      <c r="D19" s="310" t="s">
        <v>778</v>
      </c>
      <c r="E19" s="309" t="s">
        <v>39</v>
      </c>
      <c r="F19" s="309">
        <v>0.16</v>
      </c>
      <c r="G19" s="314">
        <v>6.65</v>
      </c>
      <c r="H19" s="315"/>
      <c r="I19" s="300"/>
      <c r="J19" s="313"/>
    </row>
    <row r="20" spans="1:10" ht="27">
      <c r="A20" s="297"/>
      <c r="B20" s="309" t="s">
        <v>779</v>
      </c>
      <c r="C20" s="309">
        <v>88310</v>
      </c>
      <c r="D20" s="310" t="s">
        <v>98</v>
      </c>
      <c r="E20" s="309" t="s">
        <v>780</v>
      </c>
      <c r="F20" s="309">
        <v>3.9E-2</v>
      </c>
      <c r="G20" s="314"/>
      <c r="H20" s="315">
        <v>21.13</v>
      </c>
      <c r="I20" s="300"/>
      <c r="J20" s="313"/>
    </row>
    <row r="21" spans="1:10" ht="27">
      <c r="A21" s="297"/>
      <c r="B21" s="309" t="s">
        <v>779</v>
      </c>
      <c r="C21" s="309">
        <v>88316</v>
      </c>
      <c r="D21" s="310" t="s">
        <v>781</v>
      </c>
      <c r="E21" s="309" t="s">
        <v>780</v>
      </c>
      <c r="F21" s="309">
        <v>1.4E-2</v>
      </c>
      <c r="G21" s="314"/>
      <c r="H21" s="315">
        <v>16.86</v>
      </c>
      <c r="I21" s="300"/>
      <c r="J21" s="313"/>
    </row>
    <row r="22" spans="1:10">
      <c r="A22" s="297"/>
      <c r="B22" s="309" t="s">
        <v>93</v>
      </c>
      <c r="C22" s="309" t="s">
        <v>782</v>
      </c>
      <c r="D22" s="310" t="s">
        <v>782</v>
      </c>
      <c r="E22" s="309" t="s">
        <v>782</v>
      </c>
      <c r="F22" s="309" t="s">
        <v>782</v>
      </c>
      <c r="G22" s="314" t="s">
        <v>782</v>
      </c>
      <c r="H22" s="312"/>
      <c r="I22" s="300"/>
      <c r="J22" s="313"/>
    </row>
    <row r="23" spans="1:10" ht="40.5">
      <c r="A23" s="303">
        <f>C23</f>
        <v>88488</v>
      </c>
      <c r="B23" s="303" t="s">
        <v>776</v>
      </c>
      <c r="C23" s="303">
        <v>88488</v>
      </c>
      <c r="D23" s="304" t="s">
        <v>76</v>
      </c>
      <c r="E23" s="303" t="s">
        <v>104</v>
      </c>
      <c r="F23" s="303"/>
      <c r="G23" s="305"/>
      <c r="H23" s="306"/>
      <c r="I23" s="307">
        <v>4.6399999999999997</v>
      </c>
      <c r="J23" s="308">
        <f>0.32+10.25</f>
        <v>10.57</v>
      </c>
    </row>
    <row r="24" spans="1:10" ht="27">
      <c r="B24" s="309" t="s">
        <v>777</v>
      </c>
      <c r="C24" s="309">
        <v>7356</v>
      </c>
      <c r="D24" s="310" t="s">
        <v>783</v>
      </c>
      <c r="E24" s="309" t="s">
        <v>39</v>
      </c>
      <c r="F24" s="309">
        <v>0.33</v>
      </c>
      <c r="G24" s="311">
        <v>25.96</v>
      </c>
      <c r="H24" s="312"/>
      <c r="I24" s="300"/>
      <c r="J24" s="313"/>
    </row>
    <row r="25" spans="1:10" ht="27">
      <c r="B25" s="309" t="s">
        <v>779</v>
      </c>
      <c r="C25" s="309">
        <v>88310</v>
      </c>
      <c r="D25" s="310" t="s">
        <v>98</v>
      </c>
      <c r="E25" s="309" t="s">
        <v>780</v>
      </c>
      <c r="F25" s="309">
        <v>0.24399999999999999</v>
      </c>
      <c r="G25" s="311"/>
      <c r="H25" s="315">
        <v>21.13</v>
      </c>
      <c r="I25" s="300"/>
      <c r="J25" s="313"/>
    </row>
    <row r="26" spans="1:10" ht="27">
      <c r="B26" s="309" t="s">
        <v>779</v>
      </c>
      <c r="C26" s="309">
        <v>88316</v>
      </c>
      <c r="D26" s="310" t="s">
        <v>781</v>
      </c>
      <c r="E26" s="309" t="s">
        <v>780</v>
      </c>
      <c r="F26" s="309">
        <v>8.8999999999999996E-2</v>
      </c>
      <c r="G26" s="311"/>
      <c r="H26" s="315">
        <v>16.86</v>
      </c>
      <c r="I26" s="300"/>
      <c r="J26" s="313"/>
    </row>
    <row r="27" spans="1:10">
      <c r="B27" s="309" t="s">
        <v>93</v>
      </c>
      <c r="C27" s="309" t="s">
        <v>782</v>
      </c>
      <c r="D27" s="310" t="s">
        <v>782</v>
      </c>
      <c r="E27" s="309" t="s">
        <v>782</v>
      </c>
      <c r="F27" s="309" t="s">
        <v>782</v>
      </c>
      <c r="G27" s="311" t="s">
        <v>782</v>
      </c>
      <c r="H27" s="312"/>
      <c r="I27" s="300"/>
      <c r="J27" s="313"/>
    </row>
    <row r="28" spans="1:10" ht="40.5">
      <c r="A28" s="303">
        <f>C28</f>
        <v>88489</v>
      </c>
      <c r="B28" s="303" t="s">
        <v>776</v>
      </c>
      <c r="C28" s="303">
        <v>88489</v>
      </c>
      <c r="D28" s="304" t="s">
        <v>81</v>
      </c>
      <c r="E28" s="303" t="s">
        <v>104</v>
      </c>
      <c r="F28" s="303"/>
      <c r="G28" s="305"/>
      <c r="H28" s="306"/>
      <c r="I28" s="307">
        <v>3.57</v>
      </c>
      <c r="J28" s="308">
        <f>0.24+9.85</f>
        <v>10.09</v>
      </c>
    </row>
    <row r="29" spans="1:10" ht="27">
      <c r="B29" s="309" t="s">
        <v>777</v>
      </c>
      <c r="C29" s="309">
        <v>7356</v>
      </c>
      <c r="D29" s="310" t="s">
        <v>783</v>
      </c>
      <c r="E29" s="309" t="s">
        <v>39</v>
      </c>
      <c r="F29" s="309">
        <v>0.33</v>
      </c>
      <c r="G29" s="311">
        <v>25.96</v>
      </c>
      <c r="H29" s="312"/>
      <c r="I29" s="300"/>
      <c r="J29" s="313"/>
    </row>
    <row r="30" spans="1:10" ht="27">
      <c r="B30" s="309" t="s">
        <v>779</v>
      </c>
      <c r="C30" s="309">
        <v>88310</v>
      </c>
      <c r="D30" s="310" t="s">
        <v>98</v>
      </c>
      <c r="E30" s="309" t="s">
        <v>780</v>
      </c>
      <c r="F30" s="309">
        <v>0.187</v>
      </c>
      <c r="G30" s="311"/>
      <c r="H30" s="315">
        <v>21.13</v>
      </c>
      <c r="I30" s="300"/>
      <c r="J30" s="313"/>
    </row>
    <row r="31" spans="1:10" ht="27">
      <c r="B31" s="309" t="s">
        <v>779</v>
      </c>
      <c r="C31" s="309">
        <v>88316</v>
      </c>
      <c r="D31" s="310" t="s">
        <v>781</v>
      </c>
      <c r="E31" s="309" t="s">
        <v>780</v>
      </c>
      <c r="F31" s="309">
        <v>6.9000000000000006E-2</v>
      </c>
      <c r="G31" s="311"/>
      <c r="H31" s="315">
        <v>16.86</v>
      </c>
      <c r="I31" s="300"/>
      <c r="J31" s="313"/>
    </row>
    <row r="32" spans="1:10">
      <c r="B32" s="309" t="s">
        <v>93</v>
      </c>
      <c r="C32" s="309" t="s">
        <v>782</v>
      </c>
      <c r="D32" s="310" t="s">
        <v>782</v>
      </c>
      <c r="E32" s="309" t="s">
        <v>782</v>
      </c>
      <c r="F32" s="309" t="s">
        <v>782</v>
      </c>
      <c r="G32" s="311" t="s">
        <v>782</v>
      </c>
      <c r="H32" s="312"/>
      <c r="I32" s="300"/>
      <c r="J32" s="313"/>
    </row>
    <row r="33" spans="1:10" ht="27">
      <c r="A33" s="303">
        <f>C33</f>
        <v>88496</v>
      </c>
      <c r="B33" s="303" t="s">
        <v>776</v>
      </c>
      <c r="C33" s="303">
        <v>88496</v>
      </c>
      <c r="D33" s="304" t="s">
        <v>77</v>
      </c>
      <c r="E33" s="303" t="s">
        <v>104</v>
      </c>
      <c r="F33" s="303"/>
      <c r="G33" s="305"/>
      <c r="H33" s="306"/>
      <c r="I33" s="307">
        <v>12.85</v>
      </c>
      <c r="J33" s="308">
        <f>0.87+9.14</f>
        <v>10.01</v>
      </c>
    </row>
    <row r="34" spans="1:10" ht="27">
      <c r="B34" s="309" t="s">
        <v>777</v>
      </c>
      <c r="C34" s="309">
        <v>3767</v>
      </c>
      <c r="D34" s="310" t="s">
        <v>784</v>
      </c>
      <c r="E34" s="309" t="s">
        <v>785</v>
      </c>
      <c r="F34" s="309">
        <v>0.1</v>
      </c>
      <c r="G34" s="311">
        <v>0.79</v>
      </c>
      <c r="H34" s="312"/>
      <c r="I34" s="300"/>
      <c r="J34" s="313"/>
    </row>
    <row r="35" spans="1:10" ht="27">
      <c r="B35" s="309" t="s">
        <v>777</v>
      </c>
      <c r="C35" s="309">
        <v>4047</v>
      </c>
      <c r="D35" s="310" t="s">
        <v>786</v>
      </c>
      <c r="E35" s="309" t="s">
        <v>787</v>
      </c>
      <c r="F35" s="309">
        <v>0.2445</v>
      </c>
      <c r="G35" s="311">
        <v>18.2</v>
      </c>
      <c r="H35" s="312"/>
      <c r="I35" s="300"/>
      <c r="J35" s="313"/>
    </row>
    <row r="36" spans="1:10" ht="27">
      <c r="B36" s="309" t="s">
        <v>779</v>
      </c>
      <c r="C36" s="309">
        <v>88310</v>
      </c>
      <c r="D36" s="310" t="s">
        <v>98</v>
      </c>
      <c r="E36" s="309" t="s">
        <v>780</v>
      </c>
      <c r="F36" s="309">
        <v>0.67200000000000004</v>
      </c>
      <c r="G36" s="311"/>
      <c r="H36" s="315">
        <v>21.13</v>
      </c>
      <c r="I36" s="300"/>
      <c r="J36" s="313"/>
    </row>
    <row r="37" spans="1:10" ht="27">
      <c r="B37" s="309" t="s">
        <v>779</v>
      </c>
      <c r="C37" s="309">
        <v>88316</v>
      </c>
      <c r="D37" s="310" t="s">
        <v>781</v>
      </c>
      <c r="E37" s="309" t="s">
        <v>780</v>
      </c>
      <c r="F37" s="309">
        <v>0.247</v>
      </c>
      <c r="G37" s="311"/>
      <c r="H37" s="315">
        <v>16.86</v>
      </c>
      <c r="I37" s="300"/>
      <c r="J37" s="313"/>
    </row>
    <row r="38" spans="1:10">
      <c r="B38" s="309" t="s">
        <v>93</v>
      </c>
      <c r="C38" s="309" t="s">
        <v>782</v>
      </c>
      <c r="D38" s="310" t="s">
        <v>782</v>
      </c>
      <c r="E38" s="309" t="s">
        <v>782</v>
      </c>
      <c r="F38" s="309" t="s">
        <v>782</v>
      </c>
      <c r="G38" s="311" t="s">
        <v>782</v>
      </c>
      <c r="H38" s="312"/>
      <c r="I38" s="300"/>
      <c r="J38" s="313"/>
    </row>
    <row r="39" spans="1:10" ht="27">
      <c r="A39" s="303">
        <f>C39</f>
        <v>88497</v>
      </c>
      <c r="B39" s="303" t="s">
        <v>776</v>
      </c>
      <c r="C39" s="303">
        <v>88497</v>
      </c>
      <c r="D39" s="304" t="s">
        <v>78</v>
      </c>
      <c r="E39" s="303" t="s">
        <v>104</v>
      </c>
      <c r="F39" s="303"/>
      <c r="G39" s="305"/>
      <c r="H39" s="306"/>
      <c r="I39" s="307">
        <v>5.95</v>
      </c>
      <c r="J39" s="308">
        <f>0.4+6.66</f>
        <v>7.0600000000000005</v>
      </c>
    </row>
    <row r="40" spans="1:10" ht="27">
      <c r="B40" s="309" t="s">
        <v>777</v>
      </c>
      <c r="C40" s="309">
        <v>3767</v>
      </c>
      <c r="D40" s="310" t="s">
        <v>784</v>
      </c>
      <c r="E40" s="309" t="s">
        <v>785</v>
      </c>
      <c r="F40" s="309">
        <v>0.1</v>
      </c>
      <c r="G40" s="311">
        <v>0.79</v>
      </c>
      <c r="H40" s="312"/>
      <c r="I40" s="300"/>
      <c r="J40" s="313"/>
    </row>
    <row r="41" spans="1:10" ht="27">
      <c r="B41" s="309" t="s">
        <v>777</v>
      </c>
      <c r="C41" s="309">
        <v>4047</v>
      </c>
      <c r="D41" s="310" t="s">
        <v>786</v>
      </c>
      <c r="E41" s="309" t="s">
        <v>787</v>
      </c>
      <c r="F41" s="309">
        <v>0.2445</v>
      </c>
      <c r="G41" s="311">
        <v>18.2</v>
      </c>
      <c r="H41" s="312"/>
      <c r="I41" s="300"/>
      <c r="J41" s="313"/>
    </row>
    <row r="42" spans="1:10" ht="27">
      <c r="B42" s="309" t="s">
        <v>779</v>
      </c>
      <c r="C42" s="309">
        <v>88310</v>
      </c>
      <c r="D42" s="310" t="s">
        <v>98</v>
      </c>
      <c r="E42" s="309" t="s">
        <v>780</v>
      </c>
      <c r="F42" s="309">
        <v>0.312</v>
      </c>
      <c r="G42" s="311"/>
      <c r="H42" s="315">
        <v>21.13</v>
      </c>
      <c r="I42" s="300"/>
      <c r="J42" s="313"/>
    </row>
    <row r="43" spans="1:10" ht="27">
      <c r="B43" s="309" t="s">
        <v>779</v>
      </c>
      <c r="C43" s="309">
        <v>88316</v>
      </c>
      <c r="D43" s="310" t="s">
        <v>781</v>
      </c>
      <c r="E43" s="309" t="s">
        <v>780</v>
      </c>
      <c r="F43" s="309">
        <v>0.114</v>
      </c>
      <c r="G43" s="311"/>
      <c r="H43" s="315">
        <v>16.86</v>
      </c>
      <c r="I43" s="300"/>
      <c r="J43" s="313"/>
    </row>
    <row r="44" spans="1:10">
      <c r="B44" s="309" t="s">
        <v>93</v>
      </c>
      <c r="C44" s="309" t="s">
        <v>782</v>
      </c>
      <c r="D44" s="310" t="s">
        <v>782</v>
      </c>
      <c r="E44" s="309" t="s">
        <v>782</v>
      </c>
      <c r="F44" s="309" t="s">
        <v>782</v>
      </c>
      <c r="G44" s="311" t="s">
        <v>782</v>
      </c>
      <c r="H44" s="312"/>
      <c r="I44" s="300"/>
      <c r="J44" s="313"/>
    </row>
    <row r="45" spans="1:10" ht="27">
      <c r="A45" s="303">
        <f>C45</f>
        <v>90778</v>
      </c>
      <c r="B45" s="303" t="s">
        <v>776</v>
      </c>
      <c r="C45" s="303">
        <v>90778</v>
      </c>
      <c r="D45" s="304" t="s">
        <v>60</v>
      </c>
      <c r="E45" s="303" t="s">
        <v>780</v>
      </c>
      <c r="F45" s="303"/>
      <c r="G45" s="305"/>
      <c r="H45" s="306"/>
      <c r="I45" s="307">
        <v>92.59</v>
      </c>
      <c r="J45" s="308"/>
    </row>
    <row r="46" spans="1:10">
      <c r="B46" s="309" t="s">
        <v>777</v>
      </c>
      <c r="C46" s="309">
        <v>2707</v>
      </c>
      <c r="D46" s="310" t="s">
        <v>788</v>
      </c>
      <c r="E46" s="309" t="s">
        <v>780</v>
      </c>
      <c r="F46" s="309">
        <v>1</v>
      </c>
      <c r="G46" s="311">
        <v>91.63</v>
      </c>
      <c r="H46" s="312"/>
      <c r="I46" s="300"/>
      <c r="J46" s="313"/>
    </row>
    <row r="47" spans="1:10">
      <c r="B47" s="309" t="s">
        <v>777</v>
      </c>
      <c r="C47" s="309">
        <v>37372</v>
      </c>
      <c r="D47" s="310" t="s">
        <v>789</v>
      </c>
      <c r="E47" s="309" t="s">
        <v>780</v>
      </c>
      <c r="F47" s="309">
        <v>1</v>
      </c>
      <c r="G47" s="311">
        <v>0.55000000000000004</v>
      </c>
      <c r="H47" s="312"/>
      <c r="I47" s="300"/>
      <c r="J47" s="313"/>
    </row>
    <row r="48" spans="1:10">
      <c r="B48" s="309" t="s">
        <v>777</v>
      </c>
      <c r="C48" s="309">
        <v>37373</v>
      </c>
      <c r="D48" s="310" t="s">
        <v>790</v>
      </c>
      <c r="E48" s="309" t="s">
        <v>780</v>
      </c>
      <c r="F48" s="309">
        <v>1</v>
      </c>
      <c r="G48" s="311">
        <v>0.06</v>
      </c>
      <c r="H48" s="312"/>
      <c r="I48" s="300"/>
      <c r="J48" s="313"/>
    </row>
    <row r="49" spans="1:10" ht="40.5">
      <c r="B49" s="309" t="s">
        <v>777</v>
      </c>
      <c r="C49" s="309">
        <v>43462</v>
      </c>
      <c r="D49" s="310" t="s">
        <v>791</v>
      </c>
      <c r="E49" s="309" t="s">
        <v>780</v>
      </c>
      <c r="F49" s="309">
        <v>1</v>
      </c>
      <c r="G49" s="311">
        <v>0.01</v>
      </c>
      <c r="H49" s="312"/>
      <c r="I49" s="300"/>
      <c r="J49" s="313"/>
    </row>
    <row r="50" spans="1:10" ht="40.5">
      <c r="B50" s="309" t="s">
        <v>777</v>
      </c>
      <c r="C50" s="309">
        <v>43486</v>
      </c>
      <c r="D50" s="310" t="s">
        <v>792</v>
      </c>
      <c r="E50" s="309" t="s">
        <v>780</v>
      </c>
      <c r="F50" s="309">
        <v>1</v>
      </c>
      <c r="G50" s="311">
        <v>0.55000000000000004</v>
      </c>
      <c r="H50" s="312"/>
      <c r="I50" s="300"/>
      <c r="J50" s="313"/>
    </row>
    <row r="51" spans="1:10" ht="40.5">
      <c r="B51" s="309" t="s">
        <v>779</v>
      </c>
      <c r="C51" s="309">
        <v>95403</v>
      </c>
      <c r="D51" s="310" t="s">
        <v>793</v>
      </c>
      <c r="E51" s="309" t="s">
        <v>780</v>
      </c>
      <c r="F51" s="309">
        <v>1</v>
      </c>
      <c r="G51" s="311">
        <v>0.96</v>
      </c>
      <c r="H51" s="312"/>
      <c r="I51" s="300"/>
      <c r="J51" s="313"/>
    </row>
    <row r="52" spans="1:10">
      <c r="B52" s="309" t="s">
        <v>93</v>
      </c>
      <c r="C52" s="309" t="s">
        <v>782</v>
      </c>
      <c r="D52" s="310" t="s">
        <v>782</v>
      </c>
      <c r="E52" s="309" t="s">
        <v>782</v>
      </c>
      <c r="F52" s="309" t="s">
        <v>782</v>
      </c>
      <c r="G52" s="311" t="s">
        <v>782</v>
      </c>
      <c r="H52" s="312"/>
      <c r="I52" s="300"/>
      <c r="J52" s="313"/>
    </row>
    <row r="53" spans="1:10" ht="27">
      <c r="A53" s="303">
        <f>C53</f>
        <v>94295</v>
      </c>
      <c r="B53" s="303" t="s">
        <v>776</v>
      </c>
      <c r="C53" s="303">
        <v>94295</v>
      </c>
      <c r="D53" s="304" t="s">
        <v>72</v>
      </c>
      <c r="E53" s="303" t="s">
        <v>794</v>
      </c>
      <c r="F53" s="303"/>
      <c r="G53" s="305"/>
      <c r="H53" s="306"/>
      <c r="I53" s="307">
        <v>9877.8799999999992</v>
      </c>
      <c r="J53" s="308">
        <v>307.04000000000002</v>
      </c>
    </row>
    <row r="54" spans="1:10">
      <c r="B54" s="309" t="s">
        <v>777</v>
      </c>
      <c r="C54" s="309">
        <v>40819</v>
      </c>
      <c r="D54" s="310" t="s">
        <v>795</v>
      </c>
      <c r="E54" s="309" t="s">
        <v>794</v>
      </c>
      <c r="F54" s="309">
        <v>1</v>
      </c>
      <c r="G54" s="311">
        <v>9764.6200000000008</v>
      </c>
      <c r="H54" s="312"/>
      <c r="I54" s="300"/>
      <c r="J54" s="313"/>
    </row>
    <row r="55" spans="1:10">
      <c r="B55" s="309" t="s">
        <v>777</v>
      </c>
      <c r="C55" s="309">
        <v>40863</v>
      </c>
      <c r="D55" s="310" t="s">
        <v>796</v>
      </c>
      <c r="E55" s="309" t="s">
        <v>794</v>
      </c>
      <c r="F55" s="309">
        <v>1</v>
      </c>
      <c r="G55" s="311">
        <v>103.7</v>
      </c>
      <c r="H55" s="312"/>
      <c r="I55" s="300"/>
      <c r="J55" s="313"/>
    </row>
    <row r="56" spans="1:10">
      <c r="B56" s="309" t="s">
        <v>777</v>
      </c>
      <c r="C56" s="309">
        <v>40864</v>
      </c>
      <c r="D56" s="310" t="s">
        <v>797</v>
      </c>
      <c r="E56" s="309" t="s">
        <v>794</v>
      </c>
      <c r="F56" s="309">
        <v>1</v>
      </c>
      <c r="G56" s="311">
        <v>11.13</v>
      </c>
      <c r="H56" s="312"/>
      <c r="I56" s="300"/>
      <c r="J56" s="313"/>
    </row>
    <row r="57" spans="1:10" ht="40.5">
      <c r="B57" s="309" t="s">
        <v>777</v>
      </c>
      <c r="C57" s="309">
        <v>43475</v>
      </c>
      <c r="D57" s="310" t="s">
        <v>798</v>
      </c>
      <c r="E57" s="309" t="s">
        <v>794</v>
      </c>
      <c r="F57" s="309">
        <v>1</v>
      </c>
      <c r="G57" s="311">
        <v>14.97</v>
      </c>
      <c r="H57" s="312"/>
      <c r="I57" s="300"/>
      <c r="J57" s="313"/>
    </row>
    <row r="58" spans="1:10" ht="40.5">
      <c r="B58" s="309" t="s">
        <v>777</v>
      </c>
      <c r="C58" s="309">
        <v>43499</v>
      </c>
      <c r="D58" s="310" t="s">
        <v>799</v>
      </c>
      <c r="E58" s="309" t="s">
        <v>794</v>
      </c>
      <c r="F58" s="309">
        <v>1</v>
      </c>
      <c r="G58" s="311">
        <v>177.24</v>
      </c>
      <c r="H58" s="312"/>
      <c r="I58" s="300"/>
      <c r="J58" s="313"/>
    </row>
    <row r="59" spans="1:10" ht="40.5">
      <c r="B59" s="309" t="s">
        <v>779</v>
      </c>
      <c r="C59" s="309">
        <v>95423</v>
      </c>
      <c r="D59" s="310" t="s">
        <v>800</v>
      </c>
      <c r="E59" s="309" t="s">
        <v>794</v>
      </c>
      <c r="F59" s="309">
        <v>1</v>
      </c>
      <c r="G59" s="311">
        <v>113.26</v>
      </c>
      <c r="H59" s="312"/>
      <c r="I59" s="300"/>
      <c r="J59" s="313"/>
    </row>
    <row r="60" spans="1:10">
      <c r="B60" s="309" t="s">
        <v>93</v>
      </c>
      <c r="C60" s="309" t="s">
        <v>782</v>
      </c>
      <c r="D60" s="310" t="s">
        <v>782</v>
      </c>
      <c r="E60" s="309" t="s">
        <v>782</v>
      </c>
      <c r="F60" s="309" t="s">
        <v>782</v>
      </c>
      <c r="G60" s="311" t="s">
        <v>782</v>
      </c>
      <c r="H60" s="312"/>
      <c r="I60" s="300"/>
      <c r="J60" s="313"/>
    </row>
    <row r="61" spans="1:10" ht="27">
      <c r="A61" s="303">
        <f>C61</f>
        <v>96113</v>
      </c>
      <c r="B61" s="303" t="s">
        <v>776</v>
      </c>
      <c r="C61" s="303">
        <v>96113</v>
      </c>
      <c r="D61" s="304" t="s">
        <v>114</v>
      </c>
      <c r="E61" s="303" t="s">
        <v>104</v>
      </c>
      <c r="F61" s="303"/>
      <c r="G61" s="305"/>
      <c r="H61" s="306"/>
      <c r="I61" s="307">
        <v>12.62</v>
      </c>
      <c r="J61" s="308">
        <f>0.9+18.04</f>
        <v>18.939999999999998</v>
      </c>
    </row>
    <row r="62" spans="1:10" ht="27">
      <c r="B62" s="309" t="s">
        <v>777</v>
      </c>
      <c r="C62" s="309">
        <v>345</v>
      </c>
      <c r="D62" s="310" t="s">
        <v>801</v>
      </c>
      <c r="E62" s="309" t="s">
        <v>802</v>
      </c>
      <c r="F62" s="309">
        <v>2.5000000000000001E-2</v>
      </c>
      <c r="G62" s="311">
        <v>35</v>
      </c>
      <c r="H62" s="312"/>
      <c r="I62" s="300"/>
      <c r="J62" s="313"/>
    </row>
    <row r="63" spans="1:10" ht="40.5">
      <c r="B63" s="309" t="s">
        <v>777</v>
      </c>
      <c r="C63" s="309">
        <v>3315</v>
      </c>
      <c r="D63" s="310" t="s">
        <v>803</v>
      </c>
      <c r="E63" s="309" t="s">
        <v>802</v>
      </c>
      <c r="F63" s="309">
        <v>0.99639999999999995</v>
      </c>
      <c r="G63" s="311">
        <v>0.49</v>
      </c>
      <c r="H63" s="312"/>
      <c r="I63" s="300"/>
      <c r="J63" s="313"/>
    </row>
    <row r="64" spans="1:10" ht="27">
      <c r="B64" s="309" t="s">
        <v>777</v>
      </c>
      <c r="C64" s="309">
        <v>4812</v>
      </c>
      <c r="D64" s="310" t="s">
        <v>804</v>
      </c>
      <c r="E64" s="309" t="s">
        <v>104</v>
      </c>
      <c r="F64" s="309">
        <v>1.0740000000000001</v>
      </c>
      <c r="G64" s="311">
        <v>11.13</v>
      </c>
      <c r="H64" s="312"/>
      <c r="I64" s="300"/>
      <c r="J64" s="313"/>
    </row>
    <row r="65" spans="1:10">
      <c r="B65" s="309" t="s">
        <v>777</v>
      </c>
      <c r="C65" s="309">
        <v>20250</v>
      </c>
      <c r="D65" s="310" t="s">
        <v>805</v>
      </c>
      <c r="E65" s="309" t="s">
        <v>802</v>
      </c>
      <c r="F65" s="309">
        <v>7.7999999999999996E-3</v>
      </c>
      <c r="G65" s="311">
        <v>14</v>
      </c>
      <c r="H65" s="312"/>
      <c r="I65" s="300"/>
      <c r="J65" s="313"/>
    </row>
    <row r="66" spans="1:10" ht="27">
      <c r="B66" s="309" t="s">
        <v>777</v>
      </c>
      <c r="C66" s="309">
        <v>40547</v>
      </c>
      <c r="D66" s="310" t="s">
        <v>806</v>
      </c>
      <c r="E66" s="309" t="s">
        <v>807</v>
      </c>
      <c r="F66" s="309">
        <v>3.0800000000000001E-2</v>
      </c>
      <c r="G66" s="311">
        <v>19.57</v>
      </c>
      <c r="H66" s="312"/>
      <c r="I66" s="300"/>
      <c r="J66" s="313"/>
    </row>
    <row r="67" spans="1:10" ht="27">
      <c r="B67" s="309" t="s">
        <v>779</v>
      </c>
      <c r="C67" s="309">
        <v>88269</v>
      </c>
      <c r="D67" s="310" t="s">
        <v>97</v>
      </c>
      <c r="E67" s="309" t="s">
        <v>780</v>
      </c>
      <c r="F67" s="309">
        <v>0.63129999999999997</v>
      </c>
      <c r="G67" s="311"/>
      <c r="H67" s="315">
        <v>19.399999999999999</v>
      </c>
      <c r="I67" s="300"/>
      <c r="J67" s="313"/>
    </row>
    <row r="68" spans="1:10" ht="27">
      <c r="B68" s="309" t="s">
        <v>779</v>
      </c>
      <c r="C68" s="309">
        <v>88316</v>
      </c>
      <c r="D68" s="310" t="s">
        <v>781</v>
      </c>
      <c r="E68" s="309" t="s">
        <v>780</v>
      </c>
      <c r="F68" s="309">
        <v>0.31559999999999999</v>
      </c>
      <c r="G68" s="311"/>
      <c r="H68" s="315">
        <v>16.86</v>
      </c>
      <c r="I68" s="300"/>
      <c r="J68" s="313"/>
    </row>
    <row r="69" spans="1:10">
      <c r="B69" s="309" t="s">
        <v>93</v>
      </c>
      <c r="C69" s="309" t="s">
        <v>782</v>
      </c>
      <c r="D69" s="310" t="s">
        <v>782</v>
      </c>
      <c r="E69" s="309" t="s">
        <v>782</v>
      </c>
      <c r="F69" s="309" t="s">
        <v>782</v>
      </c>
      <c r="G69" s="311" t="s">
        <v>782</v>
      </c>
      <c r="H69" s="312"/>
      <c r="I69" s="300"/>
      <c r="J69" s="313"/>
    </row>
    <row r="70" spans="1:10" ht="67.5">
      <c r="A70" s="303">
        <f>C70</f>
        <v>96358</v>
      </c>
      <c r="B70" s="303" t="s">
        <v>776</v>
      </c>
      <c r="C70" s="303">
        <v>96358</v>
      </c>
      <c r="D70" s="304" t="s">
        <v>808</v>
      </c>
      <c r="E70" s="303" t="s">
        <v>104</v>
      </c>
      <c r="F70" s="303"/>
      <c r="G70" s="305"/>
      <c r="H70" s="306"/>
      <c r="I70" s="307">
        <v>9.59</v>
      </c>
      <c r="J70" s="308">
        <f>0.65+83.1</f>
        <v>83.75</v>
      </c>
    </row>
    <row r="71" spans="1:10" ht="40.5">
      <c r="B71" s="309" t="s">
        <v>777</v>
      </c>
      <c r="C71" s="309">
        <v>37586</v>
      </c>
      <c r="D71" s="310" t="s">
        <v>809</v>
      </c>
      <c r="E71" s="309" t="s">
        <v>807</v>
      </c>
      <c r="F71" s="309">
        <v>2.4299999999999999E-2</v>
      </c>
      <c r="G71" s="311">
        <v>46.76</v>
      </c>
      <c r="H71" s="312"/>
      <c r="I71" s="300"/>
      <c r="J71" s="313"/>
    </row>
    <row r="72" spans="1:10" ht="40.5">
      <c r="B72" s="309" t="s">
        <v>777</v>
      </c>
      <c r="C72" s="309">
        <v>39413</v>
      </c>
      <c r="D72" s="310" t="s">
        <v>810</v>
      </c>
      <c r="E72" s="309" t="s">
        <v>104</v>
      </c>
      <c r="F72" s="309">
        <v>2.1059999999999999</v>
      </c>
      <c r="G72" s="311">
        <v>17.03</v>
      </c>
      <c r="H72" s="312"/>
      <c r="I72" s="300"/>
      <c r="J72" s="313"/>
    </row>
    <row r="73" spans="1:10" ht="40.5">
      <c r="B73" s="309" t="s">
        <v>777</v>
      </c>
      <c r="C73" s="309">
        <v>39419</v>
      </c>
      <c r="D73" s="310" t="s">
        <v>811</v>
      </c>
      <c r="E73" s="309" t="s">
        <v>507</v>
      </c>
      <c r="F73" s="309">
        <v>0.76039999999999996</v>
      </c>
      <c r="G73" s="311">
        <v>12.02</v>
      </c>
      <c r="H73" s="312"/>
      <c r="I73" s="300"/>
      <c r="J73" s="313"/>
    </row>
    <row r="74" spans="1:10" ht="40.5">
      <c r="B74" s="309" t="s">
        <v>777</v>
      </c>
      <c r="C74" s="309">
        <v>39422</v>
      </c>
      <c r="D74" s="310" t="s">
        <v>812</v>
      </c>
      <c r="E74" s="309" t="s">
        <v>507</v>
      </c>
      <c r="F74" s="309">
        <v>1.9910000000000001</v>
      </c>
      <c r="G74" s="311">
        <v>13.64</v>
      </c>
      <c r="H74" s="312"/>
      <c r="I74" s="300"/>
      <c r="J74" s="313"/>
    </row>
    <row r="75" spans="1:10" ht="40.5">
      <c r="B75" s="309" t="s">
        <v>777</v>
      </c>
      <c r="C75" s="309">
        <v>39431</v>
      </c>
      <c r="D75" s="310" t="s">
        <v>131</v>
      </c>
      <c r="E75" s="309" t="s">
        <v>507</v>
      </c>
      <c r="F75" s="309">
        <v>2.5026999999999999</v>
      </c>
      <c r="G75" s="311">
        <v>0.19</v>
      </c>
      <c r="H75" s="312"/>
      <c r="I75" s="300"/>
      <c r="J75" s="313"/>
    </row>
    <row r="76" spans="1:10" ht="40.5">
      <c r="B76" s="309" t="s">
        <v>777</v>
      </c>
      <c r="C76" s="309">
        <v>39432</v>
      </c>
      <c r="D76" s="310" t="s">
        <v>130</v>
      </c>
      <c r="E76" s="309" t="s">
        <v>507</v>
      </c>
      <c r="F76" s="309">
        <v>0.74070000000000003</v>
      </c>
      <c r="G76" s="311">
        <v>2.52</v>
      </c>
      <c r="H76" s="312"/>
      <c r="I76" s="300"/>
      <c r="J76" s="313"/>
    </row>
    <row r="77" spans="1:10" ht="54">
      <c r="B77" s="309" t="s">
        <v>777</v>
      </c>
      <c r="C77" s="309">
        <v>39434</v>
      </c>
      <c r="D77" s="310" t="s">
        <v>813</v>
      </c>
      <c r="E77" s="309" t="s">
        <v>802</v>
      </c>
      <c r="F77" s="309">
        <v>1.0327</v>
      </c>
      <c r="G77" s="311">
        <v>3.39</v>
      </c>
      <c r="H77" s="312"/>
      <c r="I77" s="300"/>
      <c r="J77" s="313"/>
    </row>
    <row r="78" spans="1:10" ht="40.5">
      <c r="B78" s="309" t="s">
        <v>777</v>
      </c>
      <c r="C78" s="309">
        <v>39435</v>
      </c>
      <c r="D78" s="310" t="s">
        <v>814</v>
      </c>
      <c r="E78" s="309" t="s">
        <v>785</v>
      </c>
      <c r="F78" s="309">
        <v>20.0077</v>
      </c>
      <c r="G78" s="311">
        <v>7.0000000000000007E-2</v>
      </c>
      <c r="H78" s="312"/>
      <c r="I78" s="300"/>
      <c r="J78" s="313"/>
    </row>
    <row r="79" spans="1:10" ht="40.5">
      <c r="B79" s="309" t="s">
        <v>777</v>
      </c>
      <c r="C79" s="309">
        <v>39443</v>
      </c>
      <c r="D79" s="310" t="s">
        <v>815</v>
      </c>
      <c r="E79" s="309" t="s">
        <v>785</v>
      </c>
      <c r="F79" s="309">
        <v>0.80759999999999998</v>
      </c>
      <c r="G79" s="311">
        <v>0.17</v>
      </c>
      <c r="H79" s="312"/>
      <c r="I79" s="300"/>
      <c r="J79" s="313"/>
    </row>
    <row r="80" spans="1:10" ht="27">
      <c r="B80" s="309" t="s">
        <v>779</v>
      </c>
      <c r="C80" s="309">
        <v>88278</v>
      </c>
      <c r="D80" s="310" t="s">
        <v>816</v>
      </c>
      <c r="E80" s="309" t="s">
        <v>780</v>
      </c>
      <c r="F80" s="309">
        <v>0.54490000000000005</v>
      </c>
      <c r="G80" s="311"/>
      <c r="H80" s="312">
        <v>19.11</v>
      </c>
      <c r="I80" s="300"/>
      <c r="J80" s="313"/>
    </row>
    <row r="81" spans="1:10" ht="27">
      <c r="B81" s="309" t="s">
        <v>779</v>
      </c>
      <c r="C81" s="309">
        <v>88316</v>
      </c>
      <c r="D81" s="310" t="s">
        <v>781</v>
      </c>
      <c r="E81" s="309" t="s">
        <v>780</v>
      </c>
      <c r="F81" s="309">
        <v>0.13619999999999999</v>
      </c>
      <c r="G81" s="311"/>
      <c r="H81" s="315">
        <v>16.86</v>
      </c>
      <c r="I81" s="300"/>
      <c r="J81" s="313"/>
    </row>
    <row r="82" spans="1:10">
      <c r="B82" s="309" t="s">
        <v>93</v>
      </c>
      <c r="C82" s="309" t="s">
        <v>782</v>
      </c>
      <c r="D82" s="310" t="s">
        <v>782</v>
      </c>
      <c r="E82" s="309" t="s">
        <v>782</v>
      </c>
      <c r="F82" s="309" t="s">
        <v>782</v>
      </c>
      <c r="G82" s="311" t="s">
        <v>782</v>
      </c>
      <c r="H82" s="312"/>
      <c r="I82" s="300"/>
      <c r="J82" s="313"/>
    </row>
    <row r="83" spans="1:10" ht="67.5">
      <c r="A83" s="303">
        <f>C83</f>
        <v>96359</v>
      </c>
      <c r="B83" s="303" t="s">
        <v>776</v>
      </c>
      <c r="C83" s="303">
        <v>96359</v>
      </c>
      <c r="D83" s="304" t="s">
        <v>817</v>
      </c>
      <c r="E83" s="303" t="s">
        <v>104</v>
      </c>
      <c r="F83" s="303"/>
      <c r="G83" s="305"/>
      <c r="H83" s="306"/>
      <c r="I83" s="307">
        <v>11.05</v>
      </c>
      <c r="J83" s="308">
        <f>0.75+98.03</f>
        <v>98.78</v>
      </c>
    </row>
    <row r="84" spans="1:10" ht="40.5">
      <c r="B84" s="309" t="s">
        <v>777</v>
      </c>
      <c r="C84" s="309">
        <v>37586</v>
      </c>
      <c r="D84" s="310" t="s">
        <v>809</v>
      </c>
      <c r="E84" s="309" t="s">
        <v>807</v>
      </c>
      <c r="F84" s="309">
        <v>2.9000000000000001E-2</v>
      </c>
      <c r="G84" s="311">
        <v>46.76</v>
      </c>
      <c r="H84" s="312"/>
      <c r="I84" s="300"/>
      <c r="J84" s="313"/>
    </row>
    <row r="85" spans="1:10" ht="40.5">
      <c r="B85" s="309" t="s">
        <v>777</v>
      </c>
      <c r="C85" s="309">
        <v>39413</v>
      </c>
      <c r="D85" s="310" t="s">
        <v>810</v>
      </c>
      <c r="E85" s="309" t="s">
        <v>104</v>
      </c>
      <c r="F85" s="309">
        <v>2.1059999999999999</v>
      </c>
      <c r="G85" s="311">
        <v>17.03</v>
      </c>
      <c r="H85" s="312"/>
      <c r="I85" s="300"/>
      <c r="J85" s="313"/>
    </row>
    <row r="86" spans="1:10" ht="40.5">
      <c r="B86" s="309" t="s">
        <v>777</v>
      </c>
      <c r="C86" s="309">
        <v>39419</v>
      </c>
      <c r="D86" s="310" t="s">
        <v>811</v>
      </c>
      <c r="E86" s="309" t="s">
        <v>507</v>
      </c>
      <c r="F86" s="309">
        <v>0.9093</v>
      </c>
      <c r="G86" s="311">
        <v>12.02</v>
      </c>
      <c r="H86" s="312"/>
      <c r="I86" s="300"/>
      <c r="J86" s="313"/>
    </row>
    <row r="87" spans="1:10" ht="40.5">
      <c r="B87" s="309" t="s">
        <v>777</v>
      </c>
      <c r="C87" s="309">
        <v>39422</v>
      </c>
      <c r="D87" s="310" t="s">
        <v>812</v>
      </c>
      <c r="E87" s="309" t="s">
        <v>507</v>
      </c>
      <c r="F87" s="309">
        <v>2.8999000000000001</v>
      </c>
      <c r="G87" s="311">
        <v>13.64</v>
      </c>
      <c r="H87" s="312"/>
      <c r="I87" s="300"/>
      <c r="J87" s="313"/>
    </row>
    <row r="88" spans="1:10" ht="40.5">
      <c r="B88" s="309" t="s">
        <v>777</v>
      </c>
      <c r="C88" s="309">
        <v>39431</v>
      </c>
      <c r="D88" s="310" t="s">
        <v>131</v>
      </c>
      <c r="E88" s="309" t="s">
        <v>507</v>
      </c>
      <c r="F88" s="309">
        <v>2.5026999999999999</v>
      </c>
      <c r="G88" s="311">
        <v>0.19</v>
      </c>
      <c r="H88" s="312"/>
      <c r="I88" s="300"/>
      <c r="J88" s="313"/>
    </row>
    <row r="89" spans="1:10" ht="40.5">
      <c r="B89" s="309" t="s">
        <v>777</v>
      </c>
      <c r="C89" s="309">
        <v>39432</v>
      </c>
      <c r="D89" s="310" t="s">
        <v>130</v>
      </c>
      <c r="E89" s="309" t="s">
        <v>507</v>
      </c>
      <c r="F89" s="309">
        <v>0.79249999999999998</v>
      </c>
      <c r="G89" s="311">
        <v>2.52</v>
      </c>
      <c r="H89" s="312"/>
      <c r="I89" s="300"/>
      <c r="J89" s="313"/>
    </row>
    <row r="90" spans="1:10" ht="54">
      <c r="B90" s="309" t="s">
        <v>777</v>
      </c>
      <c r="C90" s="309">
        <v>39434</v>
      </c>
      <c r="D90" s="310" t="s">
        <v>813</v>
      </c>
      <c r="E90" s="309" t="s">
        <v>802</v>
      </c>
      <c r="F90" s="309">
        <v>1.0327</v>
      </c>
      <c r="G90" s="311">
        <v>3.39</v>
      </c>
      <c r="H90" s="312"/>
      <c r="I90" s="300"/>
      <c r="J90" s="313"/>
    </row>
    <row r="91" spans="1:10" ht="40.5">
      <c r="B91" s="309" t="s">
        <v>777</v>
      </c>
      <c r="C91" s="309">
        <v>39435</v>
      </c>
      <c r="D91" s="310" t="s">
        <v>814</v>
      </c>
      <c r="E91" s="309" t="s">
        <v>785</v>
      </c>
      <c r="F91" s="309">
        <v>20.0077</v>
      </c>
      <c r="G91" s="311">
        <v>7.0000000000000007E-2</v>
      </c>
      <c r="H91" s="312"/>
      <c r="I91" s="300"/>
      <c r="J91" s="313"/>
    </row>
    <row r="92" spans="1:10" ht="40.5">
      <c r="B92" s="309" t="s">
        <v>777</v>
      </c>
      <c r="C92" s="309">
        <v>39443</v>
      </c>
      <c r="D92" s="310" t="s">
        <v>815</v>
      </c>
      <c r="E92" s="309" t="s">
        <v>785</v>
      </c>
      <c r="F92" s="309">
        <v>0.91490000000000005</v>
      </c>
      <c r="G92" s="311">
        <v>0.17</v>
      </c>
      <c r="H92" s="312"/>
      <c r="I92" s="300"/>
      <c r="J92" s="313"/>
    </row>
    <row r="93" spans="1:10" ht="27">
      <c r="B93" s="309" t="s">
        <v>779</v>
      </c>
      <c r="C93" s="309">
        <v>88278</v>
      </c>
      <c r="D93" s="310" t="s">
        <v>816</v>
      </c>
      <c r="E93" s="309" t="s">
        <v>780</v>
      </c>
      <c r="F93" s="309">
        <v>0.628</v>
      </c>
      <c r="G93" s="311"/>
      <c r="H93" s="312">
        <v>19.11</v>
      </c>
      <c r="I93" s="300"/>
      <c r="J93" s="313"/>
    </row>
    <row r="94" spans="1:10" ht="27">
      <c r="B94" s="309" t="s">
        <v>779</v>
      </c>
      <c r="C94" s="309">
        <v>88316</v>
      </c>
      <c r="D94" s="310" t="s">
        <v>781</v>
      </c>
      <c r="E94" s="309" t="s">
        <v>780</v>
      </c>
      <c r="F94" s="309">
        <v>0.157</v>
      </c>
      <c r="G94" s="311"/>
      <c r="H94" s="315">
        <v>16.86</v>
      </c>
      <c r="I94" s="300"/>
      <c r="J94" s="313"/>
    </row>
    <row r="95" spans="1:10">
      <c r="B95" s="309" t="s">
        <v>93</v>
      </c>
      <c r="C95" s="309" t="s">
        <v>782</v>
      </c>
      <c r="D95" s="310" t="s">
        <v>782</v>
      </c>
      <c r="E95" s="309" t="s">
        <v>782</v>
      </c>
      <c r="F95" s="309" t="s">
        <v>782</v>
      </c>
      <c r="G95" s="311" t="s">
        <v>782</v>
      </c>
      <c r="H95" s="312"/>
      <c r="I95" s="300"/>
      <c r="J95" s="313"/>
    </row>
    <row r="96" spans="1:10" ht="27">
      <c r="A96" s="303">
        <f>C96</f>
        <v>96374</v>
      </c>
      <c r="B96" s="303" t="s">
        <v>776</v>
      </c>
      <c r="C96" s="303">
        <v>96374</v>
      </c>
      <c r="D96" s="304" t="s">
        <v>126</v>
      </c>
      <c r="E96" s="303" t="s">
        <v>507</v>
      </c>
      <c r="F96" s="303"/>
      <c r="G96" s="305"/>
      <c r="H96" s="306"/>
      <c r="I96" s="307">
        <v>1.47</v>
      </c>
      <c r="J96" s="308">
        <f>0.1+16.7</f>
        <v>16.8</v>
      </c>
    </row>
    <row r="97" spans="1:10" ht="40.5">
      <c r="B97" s="309" t="s">
        <v>777</v>
      </c>
      <c r="C97" s="309">
        <v>3990</v>
      </c>
      <c r="D97" s="310" t="s">
        <v>818</v>
      </c>
      <c r="E97" s="309" t="s">
        <v>507</v>
      </c>
      <c r="F97" s="309">
        <v>1.1000000000000001</v>
      </c>
      <c r="G97" s="311">
        <v>13.66</v>
      </c>
      <c r="H97" s="312"/>
      <c r="I97" s="300"/>
      <c r="J97" s="313"/>
    </row>
    <row r="98" spans="1:10" ht="40.5">
      <c r="B98" s="309" t="s">
        <v>777</v>
      </c>
      <c r="C98" s="309">
        <v>39443</v>
      </c>
      <c r="D98" s="310" t="s">
        <v>815</v>
      </c>
      <c r="E98" s="309" t="s">
        <v>785</v>
      </c>
      <c r="F98" s="309">
        <v>7.6367000000000003</v>
      </c>
      <c r="G98" s="311">
        <v>0.17</v>
      </c>
      <c r="H98" s="312"/>
      <c r="I98" s="300"/>
      <c r="J98" s="313"/>
    </row>
    <row r="99" spans="1:10" ht="27">
      <c r="B99" s="309" t="s">
        <v>779</v>
      </c>
      <c r="C99" s="309">
        <v>88278</v>
      </c>
      <c r="D99" s="310" t="s">
        <v>816</v>
      </c>
      <c r="E99" s="309" t="s">
        <v>780</v>
      </c>
      <c r="F99" s="309">
        <v>8.48E-2</v>
      </c>
      <c r="G99" s="311"/>
      <c r="H99" s="312">
        <v>19.11</v>
      </c>
      <c r="I99" s="300"/>
      <c r="J99" s="313"/>
    </row>
    <row r="100" spans="1:10" ht="27">
      <c r="B100" s="309" t="s">
        <v>779</v>
      </c>
      <c r="C100" s="309">
        <v>88316</v>
      </c>
      <c r="D100" s="310" t="s">
        <v>781</v>
      </c>
      <c r="E100" s="309" t="s">
        <v>780</v>
      </c>
      <c r="F100" s="309">
        <v>2.12E-2</v>
      </c>
      <c r="G100" s="311"/>
      <c r="H100" s="315">
        <v>16.86</v>
      </c>
      <c r="I100" s="300"/>
      <c r="J100" s="313"/>
    </row>
    <row r="101" spans="1:10">
      <c r="B101" s="309" t="s">
        <v>93</v>
      </c>
      <c r="C101" s="309" t="s">
        <v>782</v>
      </c>
      <c r="D101" s="310" t="s">
        <v>782</v>
      </c>
      <c r="E101" s="309" t="s">
        <v>782</v>
      </c>
      <c r="F101" s="309" t="s">
        <v>782</v>
      </c>
      <c r="G101" s="311" t="s">
        <v>782</v>
      </c>
      <c r="H101" s="312"/>
      <c r="I101" s="300"/>
      <c r="J101" s="313"/>
    </row>
    <row r="102" spans="1:10" ht="40.5">
      <c r="A102" s="303">
        <f>C102</f>
        <v>97637</v>
      </c>
      <c r="B102" s="303" t="s">
        <v>776</v>
      </c>
      <c r="C102" s="303">
        <v>97637</v>
      </c>
      <c r="D102" s="304" t="s">
        <v>103</v>
      </c>
      <c r="E102" s="303" t="s">
        <v>104</v>
      </c>
      <c r="F102" s="303"/>
      <c r="G102" s="305"/>
      <c r="H102" s="306"/>
      <c r="I102" s="307">
        <v>1.56</v>
      </c>
      <c r="J102" s="308">
        <f>11+0.45</f>
        <v>11.45</v>
      </c>
    </row>
    <row r="103" spans="1:10" ht="27">
      <c r="B103" s="309" t="s">
        <v>779</v>
      </c>
      <c r="C103" s="309">
        <v>88278</v>
      </c>
      <c r="D103" s="310" t="s">
        <v>816</v>
      </c>
      <c r="E103" s="309" t="s">
        <v>780</v>
      </c>
      <c r="F103" s="309">
        <v>4.0800000000000003E-2</v>
      </c>
      <c r="G103" s="311"/>
      <c r="H103" s="312">
        <v>19.11</v>
      </c>
      <c r="I103" s="300"/>
      <c r="J103" s="313"/>
    </row>
    <row r="104" spans="1:10" ht="27">
      <c r="B104" s="309" t="s">
        <v>779</v>
      </c>
      <c r="C104" s="309">
        <v>88316</v>
      </c>
      <c r="D104" s="310" t="s">
        <v>781</v>
      </c>
      <c r="E104" s="309" t="s">
        <v>780</v>
      </c>
      <c r="F104" s="309">
        <v>8.0100000000000005E-2</v>
      </c>
      <c r="G104" s="311"/>
      <c r="H104" s="315">
        <v>16.86</v>
      </c>
      <c r="I104" s="300"/>
      <c r="J104" s="313"/>
    </row>
    <row r="105" spans="1:10">
      <c r="B105" s="309" t="s">
        <v>93</v>
      </c>
      <c r="C105" s="309" t="s">
        <v>782</v>
      </c>
      <c r="D105" s="310" t="s">
        <v>782</v>
      </c>
      <c r="E105" s="309" t="s">
        <v>782</v>
      </c>
      <c r="F105" s="309" t="s">
        <v>782</v>
      </c>
      <c r="G105" s="311" t="s">
        <v>782</v>
      </c>
      <c r="H105" s="312"/>
      <c r="I105" s="300"/>
      <c r="J105" s="313"/>
    </row>
    <row r="106" spans="1:10" ht="40.5">
      <c r="A106" s="303">
        <f>C106</f>
        <v>97638</v>
      </c>
      <c r="B106" s="303" t="s">
        <v>776</v>
      </c>
      <c r="C106" s="303">
        <v>97638</v>
      </c>
      <c r="D106" s="304" t="s">
        <v>819</v>
      </c>
      <c r="E106" s="303" t="s">
        <v>104</v>
      </c>
      <c r="F106" s="303"/>
      <c r="G106" s="305"/>
      <c r="H106" s="306"/>
      <c r="I106" s="307">
        <v>4.51</v>
      </c>
      <c r="J106" s="308">
        <f>0.33+1.34</f>
        <v>1.6700000000000002</v>
      </c>
    </row>
    <row r="107" spans="1:10" ht="27">
      <c r="B107" s="309" t="s">
        <v>779</v>
      </c>
      <c r="C107" s="309">
        <v>88278</v>
      </c>
      <c r="D107" s="310" t="s">
        <v>816</v>
      </c>
      <c r="E107" s="309" t="s">
        <v>780</v>
      </c>
      <c r="F107" s="309">
        <v>0.1186</v>
      </c>
      <c r="G107" s="311"/>
      <c r="H107" s="312">
        <v>19.11</v>
      </c>
      <c r="I107" s="300"/>
      <c r="J107" s="313"/>
    </row>
    <row r="108" spans="1:10" ht="27">
      <c r="B108" s="309" t="s">
        <v>779</v>
      </c>
      <c r="C108" s="309">
        <v>88316</v>
      </c>
      <c r="D108" s="310" t="s">
        <v>781</v>
      </c>
      <c r="E108" s="309" t="s">
        <v>780</v>
      </c>
      <c r="F108" s="309">
        <v>0.2329</v>
      </c>
      <c r="G108" s="311"/>
      <c r="H108" s="315">
        <v>16.86</v>
      </c>
      <c r="I108" s="300"/>
      <c r="J108" s="313"/>
    </row>
    <row r="109" spans="1:10">
      <c r="B109" s="309" t="s">
        <v>93</v>
      </c>
      <c r="C109" s="309" t="s">
        <v>782</v>
      </c>
      <c r="D109" s="310" t="s">
        <v>782</v>
      </c>
      <c r="E109" s="309" t="s">
        <v>782</v>
      </c>
      <c r="F109" s="309" t="s">
        <v>782</v>
      </c>
      <c r="G109" s="311" t="s">
        <v>782</v>
      </c>
      <c r="H109" s="312"/>
      <c r="I109" s="300"/>
      <c r="J109" s="313"/>
    </row>
    <row r="110" spans="1:10" ht="40.5">
      <c r="A110" s="303">
        <f>C110</f>
        <v>97640</v>
      </c>
      <c r="B110" s="303" t="s">
        <v>776</v>
      </c>
      <c r="C110" s="303">
        <v>97640</v>
      </c>
      <c r="D110" s="304" t="s">
        <v>107</v>
      </c>
      <c r="E110" s="303" t="s">
        <v>104</v>
      </c>
      <c r="F110" s="303"/>
      <c r="G110" s="305"/>
      <c r="H110" s="306"/>
      <c r="I110" s="307">
        <v>1</v>
      </c>
      <c r="J110" s="308">
        <f>0.07+0.26</f>
        <v>0.33</v>
      </c>
    </row>
    <row r="111" spans="1:10" ht="27">
      <c r="B111" s="309" t="s">
        <v>779</v>
      </c>
      <c r="C111" s="309">
        <v>88278</v>
      </c>
      <c r="D111" s="310" t="s">
        <v>816</v>
      </c>
      <c r="E111" s="309" t="s">
        <v>780</v>
      </c>
      <c r="F111" s="309">
        <v>2.58E-2</v>
      </c>
      <c r="G111" s="311"/>
      <c r="H111" s="312">
        <v>19.11</v>
      </c>
      <c r="I111" s="300"/>
      <c r="J111" s="313"/>
    </row>
    <row r="112" spans="1:10" ht="27">
      <c r="B112" s="309" t="s">
        <v>779</v>
      </c>
      <c r="C112" s="309">
        <v>88316</v>
      </c>
      <c r="D112" s="310" t="s">
        <v>781</v>
      </c>
      <c r="E112" s="309" t="s">
        <v>780</v>
      </c>
      <c r="F112" s="309">
        <v>5.0700000000000002E-2</v>
      </c>
      <c r="G112" s="311"/>
      <c r="H112" s="315">
        <v>16.86</v>
      </c>
      <c r="I112" s="300"/>
      <c r="J112" s="313"/>
    </row>
    <row r="113" spans="1:10">
      <c r="B113" s="309" t="s">
        <v>93</v>
      </c>
      <c r="C113" s="309" t="s">
        <v>782</v>
      </c>
      <c r="D113" s="310" t="s">
        <v>782</v>
      </c>
      <c r="E113" s="309" t="s">
        <v>782</v>
      </c>
      <c r="F113" s="309" t="s">
        <v>782</v>
      </c>
      <c r="G113" s="311" t="s">
        <v>782</v>
      </c>
      <c r="H113" s="312"/>
      <c r="I113" s="300"/>
      <c r="J113" s="313"/>
    </row>
    <row r="114" spans="1:10" ht="27">
      <c r="A114" s="303">
        <f>C114</f>
        <v>97644</v>
      </c>
      <c r="B114" s="303" t="s">
        <v>776</v>
      </c>
      <c r="C114" s="303">
        <v>97644</v>
      </c>
      <c r="D114" s="304" t="s">
        <v>105</v>
      </c>
      <c r="E114" s="303" t="s">
        <v>104</v>
      </c>
      <c r="F114" s="303"/>
      <c r="G114" s="305"/>
      <c r="H114" s="306"/>
      <c r="I114" s="307">
        <v>5.01</v>
      </c>
      <c r="J114" s="308">
        <f>0.37+1.61</f>
        <v>1.98</v>
      </c>
    </row>
    <row r="115" spans="1:10" ht="27">
      <c r="B115" s="309" t="s">
        <v>779</v>
      </c>
      <c r="C115" s="309">
        <v>88309</v>
      </c>
      <c r="D115" s="310" t="s">
        <v>820</v>
      </c>
      <c r="E115" s="309" t="s">
        <v>780</v>
      </c>
      <c r="F115" s="309">
        <v>0.13150000000000001</v>
      </c>
      <c r="G115" s="311"/>
      <c r="H115" s="315">
        <v>20.13</v>
      </c>
      <c r="I115" s="300"/>
      <c r="J115" s="313"/>
    </row>
    <row r="116" spans="1:10" ht="27">
      <c r="B116" s="309" t="s">
        <v>779</v>
      </c>
      <c r="C116" s="309">
        <v>88316</v>
      </c>
      <c r="D116" s="310" t="s">
        <v>781</v>
      </c>
      <c r="E116" s="309" t="s">
        <v>780</v>
      </c>
      <c r="F116" s="309">
        <v>0.25819999999999999</v>
      </c>
      <c r="G116" s="311"/>
      <c r="H116" s="315">
        <v>16.86</v>
      </c>
      <c r="I116" s="300"/>
      <c r="J116" s="313"/>
    </row>
    <row r="117" spans="1:10">
      <c r="B117" s="309" t="s">
        <v>93</v>
      </c>
      <c r="C117" s="309" t="s">
        <v>782</v>
      </c>
      <c r="D117" s="310" t="s">
        <v>782</v>
      </c>
      <c r="E117" s="309" t="s">
        <v>782</v>
      </c>
      <c r="F117" s="309" t="s">
        <v>782</v>
      </c>
      <c r="G117" s="311"/>
      <c r="H117" s="312"/>
      <c r="I117" s="300"/>
      <c r="J117" s="313"/>
    </row>
    <row r="118" spans="1:10" ht="27">
      <c r="A118" s="303">
        <f>C118</f>
        <v>88310</v>
      </c>
      <c r="B118" s="303" t="s">
        <v>776</v>
      </c>
      <c r="C118" s="303">
        <v>88310</v>
      </c>
      <c r="D118" s="304" t="s">
        <v>98</v>
      </c>
      <c r="E118" s="303" t="s">
        <v>780</v>
      </c>
      <c r="F118" s="303"/>
      <c r="G118" s="305"/>
      <c r="H118" s="306"/>
      <c r="I118" s="307"/>
      <c r="J118" s="308">
        <v>21.13</v>
      </c>
    </row>
    <row r="119" spans="1:10">
      <c r="B119" s="309" t="s">
        <v>777</v>
      </c>
      <c r="C119" s="309">
        <v>4783</v>
      </c>
      <c r="D119" s="310" t="s">
        <v>821</v>
      </c>
      <c r="E119" s="309" t="s">
        <v>780</v>
      </c>
      <c r="F119" s="309">
        <v>1</v>
      </c>
      <c r="G119" s="311"/>
      <c r="H119" s="312">
        <v>14.63</v>
      </c>
      <c r="I119" s="300"/>
      <c r="J119" s="313"/>
    </row>
    <row r="120" spans="1:10">
      <c r="B120" s="309" t="s">
        <v>777</v>
      </c>
      <c r="C120" s="309">
        <v>37370</v>
      </c>
      <c r="D120" s="310" t="s">
        <v>822</v>
      </c>
      <c r="E120" s="309" t="s">
        <v>780</v>
      </c>
      <c r="F120" s="309">
        <v>1</v>
      </c>
      <c r="G120" s="311"/>
      <c r="H120" s="312">
        <v>1.04</v>
      </c>
      <c r="I120" s="300"/>
      <c r="J120" s="313"/>
    </row>
    <row r="121" spans="1:10">
      <c r="B121" s="309" t="s">
        <v>777</v>
      </c>
      <c r="C121" s="309">
        <v>37371</v>
      </c>
      <c r="D121" s="310" t="s">
        <v>823</v>
      </c>
      <c r="E121" s="309" t="s">
        <v>780</v>
      </c>
      <c r="F121" s="309">
        <v>1</v>
      </c>
      <c r="G121" s="311"/>
      <c r="H121" s="312">
        <v>1.1499999999999999</v>
      </c>
      <c r="I121" s="300"/>
      <c r="J121" s="313"/>
    </row>
    <row r="122" spans="1:10">
      <c r="B122" s="309" t="s">
        <v>777</v>
      </c>
      <c r="C122" s="309">
        <v>37372</v>
      </c>
      <c r="D122" s="310" t="s">
        <v>789</v>
      </c>
      <c r="E122" s="309" t="s">
        <v>780</v>
      </c>
      <c r="F122" s="309">
        <v>1</v>
      </c>
      <c r="G122" s="311"/>
      <c r="H122" s="312">
        <v>0.55000000000000004</v>
      </c>
      <c r="I122" s="300"/>
      <c r="J122" s="313"/>
    </row>
    <row r="123" spans="1:10">
      <c r="B123" s="309" t="s">
        <v>777</v>
      </c>
      <c r="C123" s="309">
        <v>37373</v>
      </c>
      <c r="D123" s="310" t="s">
        <v>790</v>
      </c>
      <c r="E123" s="309" t="s">
        <v>780</v>
      </c>
      <c r="F123" s="309">
        <v>1</v>
      </c>
      <c r="G123" s="311"/>
      <c r="H123" s="312">
        <v>0.06</v>
      </c>
      <c r="I123" s="300"/>
      <c r="J123" s="313"/>
    </row>
    <row r="124" spans="1:10" ht="40.5">
      <c r="B124" s="309" t="s">
        <v>777</v>
      </c>
      <c r="C124" s="309">
        <v>43466</v>
      </c>
      <c r="D124" s="310" t="s">
        <v>824</v>
      </c>
      <c r="E124" s="309" t="s">
        <v>780</v>
      </c>
      <c r="F124" s="309">
        <v>1</v>
      </c>
      <c r="G124" s="311"/>
      <c r="H124" s="312">
        <v>1.27</v>
      </c>
      <c r="I124" s="300"/>
      <c r="J124" s="313"/>
    </row>
    <row r="125" spans="1:10" ht="27">
      <c r="B125" s="309" t="s">
        <v>777</v>
      </c>
      <c r="C125" s="309">
        <v>43490</v>
      </c>
      <c r="D125" s="310" t="s">
        <v>825</v>
      </c>
      <c r="E125" s="309" t="s">
        <v>780</v>
      </c>
      <c r="F125" s="309">
        <v>1</v>
      </c>
      <c r="G125" s="311"/>
      <c r="H125" s="312">
        <v>1.33</v>
      </c>
      <c r="I125" s="300"/>
      <c r="J125" s="313"/>
    </row>
    <row r="126" spans="1:10" ht="27">
      <c r="B126" s="309" t="s">
        <v>779</v>
      </c>
      <c r="C126" s="309">
        <v>95372</v>
      </c>
      <c r="D126" s="310" t="s">
        <v>826</v>
      </c>
      <c r="E126" s="309" t="s">
        <v>780</v>
      </c>
      <c r="F126" s="309">
        <v>1</v>
      </c>
      <c r="G126" s="311"/>
      <c r="H126" s="312">
        <v>0.15</v>
      </c>
      <c r="I126" s="300"/>
      <c r="J126" s="313"/>
    </row>
    <row r="127" spans="1:10">
      <c r="B127" s="309" t="s">
        <v>841</v>
      </c>
      <c r="C127" s="309"/>
      <c r="D127" s="310" t="s">
        <v>843</v>
      </c>
      <c r="E127" s="309" t="s">
        <v>842</v>
      </c>
      <c r="F127" s="309">
        <v>1</v>
      </c>
      <c r="G127" s="311"/>
      <c r="H127" s="376">
        <v>0.95</v>
      </c>
      <c r="I127" s="300"/>
      <c r="J127" s="313"/>
    </row>
    <row r="128" spans="1:10">
      <c r="B128" s="309" t="s">
        <v>93</v>
      </c>
      <c r="C128" s="309" t="s">
        <v>782</v>
      </c>
      <c r="D128" s="310" t="s">
        <v>782</v>
      </c>
      <c r="E128" s="309" t="s">
        <v>782</v>
      </c>
      <c r="F128" s="309" t="s">
        <v>782</v>
      </c>
      <c r="G128" s="311"/>
      <c r="H128" s="312"/>
      <c r="I128" s="300"/>
      <c r="J128" s="313"/>
    </row>
    <row r="129" spans="1:10" ht="27">
      <c r="A129" s="303">
        <f>C129</f>
        <v>88316</v>
      </c>
      <c r="B129" s="303" t="s">
        <v>776</v>
      </c>
      <c r="C129" s="303">
        <v>88316</v>
      </c>
      <c r="D129" s="304" t="s">
        <v>781</v>
      </c>
      <c r="E129" s="303" t="s">
        <v>780</v>
      </c>
      <c r="F129" s="303"/>
      <c r="G129" s="305"/>
      <c r="H129" s="306"/>
      <c r="I129" s="307"/>
      <c r="J129" s="308">
        <f>SUM(H130:H138)</f>
        <v>16.86</v>
      </c>
    </row>
    <row r="130" spans="1:10">
      <c r="B130" s="309" t="s">
        <v>777</v>
      </c>
      <c r="C130" s="309">
        <v>6111</v>
      </c>
      <c r="D130" s="310" t="s">
        <v>827</v>
      </c>
      <c r="E130" s="309" t="s">
        <v>780</v>
      </c>
      <c r="F130" s="309">
        <v>1</v>
      </c>
      <c r="G130" s="311"/>
      <c r="H130" s="312">
        <v>11.52</v>
      </c>
      <c r="I130" s="300"/>
      <c r="J130" s="313"/>
    </row>
    <row r="131" spans="1:10">
      <c r="B131" s="309" t="s">
        <v>777</v>
      </c>
      <c r="C131" s="309">
        <v>37370</v>
      </c>
      <c r="D131" s="310" t="s">
        <v>822</v>
      </c>
      <c r="E131" s="309" t="s">
        <v>780</v>
      </c>
      <c r="F131" s="309">
        <v>1</v>
      </c>
      <c r="G131" s="311"/>
      <c r="H131" s="312">
        <v>1.04</v>
      </c>
      <c r="I131" s="300"/>
      <c r="J131" s="313"/>
    </row>
    <row r="132" spans="1:10">
      <c r="B132" s="309" t="s">
        <v>777</v>
      </c>
      <c r="C132" s="309">
        <v>37371</v>
      </c>
      <c r="D132" s="310" t="s">
        <v>823</v>
      </c>
      <c r="E132" s="309" t="s">
        <v>780</v>
      </c>
      <c r="F132" s="309">
        <v>1</v>
      </c>
      <c r="G132" s="311"/>
      <c r="H132" s="312">
        <v>1.1499999999999999</v>
      </c>
      <c r="I132" s="300"/>
      <c r="J132" s="313"/>
    </row>
    <row r="133" spans="1:10">
      <c r="B133" s="309" t="s">
        <v>777</v>
      </c>
      <c r="C133" s="309">
        <v>37372</v>
      </c>
      <c r="D133" s="310" t="s">
        <v>789</v>
      </c>
      <c r="E133" s="309" t="s">
        <v>780</v>
      </c>
      <c r="F133" s="309">
        <v>1</v>
      </c>
      <c r="G133" s="311"/>
      <c r="H133" s="312">
        <v>0.55000000000000004</v>
      </c>
      <c r="I133" s="300"/>
      <c r="J133" s="313"/>
    </row>
    <row r="134" spans="1:10">
      <c r="B134" s="309" t="s">
        <v>777</v>
      </c>
      <c r="C134" s="309">
        <v>37373</v>
      </c>
      <c r="D134" s="310" t="s">
        <v>790</v>
      </c>
      <c r="E134" s="309" t="s">
        <v>780</v>
      </c>
      <c r="F134" s="309">
        <v>1</v>
      </c>
      <c r="G134" s="311"/>
      <c r="H134" s="312">
        <v>0.06</v>
      </c>
      <c r="I134" s="300"/>
      <c r="J134" s="313"/>
    </row>
    <row r="135" spans="1:10" ht="40.5">
      <c r="B135" s="309" t="s">
        <v>777</v>
      </c>
      <c r="C135" s="309">
        <v>43467</v>
      </c>
      <c r="D135" s="310" t="s">
        <v>828</v>
      </c>
      <c r="E135" s="309" t="s">
        <v>780</v>
      </c>
      <c r="F135" s="309">
        <v>1</v>
      </c>
      <c r="G135" s="311"/>
      <c r="H135" s="312">
        <v>0.41</v>
      </c>
      <c r="I135" s="300"/>
      <c r="J135" s="313"/>
    </row>
    <row r="136" spans="1:10" ht="40.5">
      <c r="B136" s="309" t="s">
        <v>777</v>
      </c>
      <c r="C136" s="309">
        <v>43491</v>
      </c>
      <c r="D136" s="310" t="s">
        <v>829</v>
      </c>
      <c r="E136" s="309" t="s">
        <v>780</v>
      </c>
      <c r="F136" s="309">
        <v>1</v>
      </c>
      <c r="G136" s="311"/>
      <c r="H136" s="312">
        <v>1.01</v>
      </c>
      <c r="I136" s="300"/>
      <c r="J136" s="313"/>
    </row>
    <row r="137" spans="1:10" ht="27">
      <c r="B137" s="309" t="s">
        <v>779</v>
      </c>
      <c r="C137" s="309">
        <v>95378</v>
      </c>
      <c r="D137" s="310" t="s">
        <v>830</v>
      </c>
      <c r="E137" s="309" t="s">
        <v>780</v>
      </c>
      <c r="F137" s="309">
        <v>1</v>
      </c>
      <c r="G137" s="311"/>
      <c r="H137" s="312">
        <v>0.17</v>
      </c>
      <c r="I137" s="300"/>
      <c r="J137" s="313"/>
    </row>
    <row r="138" spans="1:10">
      <c r="B138" s="309" t="s">
        <v>841</v>
      </c>
      <c r="C138" s="309"/>
      <c r="D138" s="310" t="s">
        <v>843</v>
      </c>
      <c r="E138" s="309" t="s">
        <v>842</v>
      </c>
      <c r="F138" s="309">
        <v>1</v>
      </c>
      <c r="G138" s="311"/>
      <c r="H138" s="312">
        <v>0.95</v>
      </c>
      <c r="I138" s="300"/>
      <c r="J138" s="313"/>
    </row>
    <row r="139" spans="1:10">
      <c r="B139" s="309" t="s">
        <v>93</v>
      </c>
      <c r="C139" s="309" t="s">
        <v>782</v>
      </c>
      <c r="D139" s="310" t="s">
        <v>782</v>
      </c>
      <c r="E139" s="309" t="s">
        <v>782</v>
      </c>
      <c r="F139" s="309" t="s">
        <v>782</v>
      </c>
      <c r="G139" s="311"/>
      <c r="H139" s="312" t="s">
        <v>782</v>
      </c>
      <c r="I139" s="300"/>
      <c r="J139" s="313"/>
    </row>
    <row r="140" spans="1:10" ht="27">
      <c r="A140" s="303">
        <f>C140</f>
        <v>90778</v>
      </c>
      <c r="B140" s="303" t="s">
        <v>776</v>
      </c>
      <c r="C140" s="303">
        <v>90778</v>
      </c>
      <c r="D140" s="304" t="s">
        <v>60</v>
      </c>
      <c r="E140" s="303" t="s">
        <v>780</v>
      </c>
      <c r="F140" s="303"/>
      <c r="G140" s="305"/>
      <c r="H140" s="306"/>
      <c r="I140" s="307"/>
      <c r="J140" s="308">
        <f>SUM(H141:H147)</f>
        <v>94.71</v>
      </c>
    </row>
    <row r="141" spans="1:10">
      <c r="B141" s="309" t="s">
        <v>777</v>
      </c>
      <c r="C141" s="309">
        <v>2707</v>
      </c>
      <c r="D141" s="310" t="s">
        <v>788</v>
      </c>
      <c r="E141" s="309" t="s">
        <v>780</v>
      </c>
      <c r="F141" s="309">
        <v>1</v>
      </c>
      <c r="G141" s="311"/>
      <c r="H141" s="312">
        <v>91.63</v>
      </c>
      <c r="I141" s="300"/>
      <c r="J141" s="313"/>
    </row>
    <row r="142" spans="1:10">
      <c r="B142" s="309" t="s">
        <v>777</v>
      </c>
      <c r="C142" s="309">
        <v>37372</v>
      </c>
      <c r="D142" s="310" t="s">
        <v>789</v>
      </c>
      <c r="E142" s="309" t="s">
        <v>780</v>
      </c>
      <c r="F142" s="309">
        <v>1</v>
      </c>
      <c r="G142" s="311"/>
      <c r="H142" s="312">
        <v>0.55000000000000004</v>
      </c>
      <c r="I142" s="300"/>
      <c r="J142" s="313"/>
    </row>
    <row r="143" spans="1:10">
      <c r="B143" s="309" t="s">
        <v>777</v>
      </c>
      <c r="C143" s="309">
        <v>37373</v>
      </c>
      <c r="D143" s="310" t="s">
        <v>790</v>
      </c>
      <c r="E143" s="309" t="s">
        <v>780</v>
      </c>
      <c r="F143" s="309">
        <v>1</v>
      </c>
      <c r="G143" s="311"/>
      <c r="H143" s="312">
        <v>0.06</v>
      </c>
      <c r="I143" s="300"/>
      <c r="J143" s="313"/>
    </row>
    <row r="144" spans="1:10" ht="40.5">
      <c r="B144" s="309" t="s">
        <v>777</v>
      </c>
      <c r="C144" s="309">
        <v>43462</v>
      </c>
      <c r="D144" s="310" t="s">
        <v>791</v>
      </c>
      <c r="E144" s="309" t="s">
        <v>780</v>
      </c>
      <c r="F144" s="309">
        <v>1</v>
      </c>
      <c r="G144" s="311"/>
      <c r="H144" s="312">
        <v>0.01</v>
      </c>
      <c r="I144" s="300"/>
      <c r="J144" s="313"/>
    </row>
    <row r="145" spans="1:10" ht="40.5">
      <c r="B145" s="309" t="s">
        <v>777</v>
      </c>
      <c r="C145" s="309">
        <v>43486</v>
      </c>
      <c r="D145" s="310" t="s">
        <v>792</v>
      </c>
      <c r="E145" s="309" t="s">
        <v>780</v>
      </c>
      <c r="F145" s="309">
        <v>1</v>
      </c>
      <c r="G145" s="311"/>
      <c r="H145" s="312">
        <v>0.55000000000000004</v>
      </c>
      <c r="I145" s="300"/>
      <c r="J145" s="313"/>
    </row>
    <row r="146" spans="1:10" ht="40.5">
      <c r="B146" s="309" t="s">
        <v>779</v>
      </c>
      <c r="C146" s="309">
        <v>95403</v>
      </c>
      <c r="D146" s="310" t="s">
        <v>793</v>
      </c>
      <c r="E146" s="309" t="s">
        <v>780</v>
      </c>
      <c r="F146" s="309">
        <v>1</v>
      </c>
      <c r="G146" s="311"/>
      <c r="H146" s="312">
        <v>0.96</v>
      </c>
      <c r="I146" s="300"/>
      <c r="J146" s="313"/>
    </row>
    <row r="147" spans="1:10">
      <c r="B147" s="309" t="s">
        <v>841</v>
      </c>
      <c r="C147" s="309"/>
      <c r="D147" s="310" t="s">
        <v>843</v>
      </c>
      <c r="E147" s="309" t="s">
        <v>842</v>
      </c>
      <c r="F147" s="309">
        <v>1</v>
      </c>
      <c r="G147" s="311"/>
      <c r="H147" s="312">
        <v>0.95</v>
      </c>
      <c r="I147" s="300"/>
      <c r="J147" s="313"/>
    </row>
    <row r="148" spans="1:10">
      <c r="B148" s="309" t="s">
        <v>93</v>
      </c>
      <c r="C148" s="309" t="s">
        <v>782</v>
      </c>
      <c r="D148" s="310" t="s">
        <v>782</v>
      </c>
      <c r="E148" s="309" t="s">
        <v>782</v>
      </c>
      <c r="F148" s="309" t="s">
        <v>782</v>
      </c>
      <c r="G148" s="311"/>
      <c r="H148" s="312" t="s">
        <v>782</v>
      </c>
      <c r="I148" s="300"/>
      <c r="J148" s="313"/>
    </row>
    <row r="149" spans="1:10" ht="40.5">
      <c r="A149" s="303">
        <f>C149</f>
        <v>95403</v>
      </c>
      <c r="B149" s="303" t="s">
        <v>776</v>
      </c>
      <c r="C149" s="303">
        <v>95403</v>
      </c>
      <c r="D149" s="304" t="s">
        <v>793</v>
      </c>
      <c r="E149" s="303" t="s">
        <v>780</v>
      </c>
      <c r="F149" s="303"/>
      <c r="G149" s="305"/>
      <c r="H149" s="306"/>
      <c r="I149" s="307"/>
      <c r="J149" s="308">
        <f>SUM(H150)</f>
        <v>91.63</v>
      </c>
    </row>
    <row r="150" spans="1:10">
      <c r="B150" s="309" t="s">
        <v>777</v>
      </c>
      <c r="C150" s="309">
        <v>2707</v>
      </c>
      <c r="D150" s="310" t="s">
        <v>788</v>
      </c>
      <c r="E150" s="309" t="s">
        <v>780</v>
      </c>
      <c r="F150" s="309">
        <v>1.0500000000000001E-2</v>
      </c>
      <c r="G150" s="311"/>
      <c r="H150" s="312">
        <v>91.63</v>
      </c>
      <c r="I150" s="300"/>
      <c r="J150" s="313"/>
    </row>
    <row r="151" spans="1:10">
      <c r="B151" s="309" t="s">
        <v>93</v>
      </c>
      <c r="C151" s="309" t="s">
        <v>782</v>
      </c>
      <c r="D151" s="310" t="s">
        <v>782</v>
      </c>
      <c r="E151" s="309" t="s">
        <v>782</v>
      </c>
      <c r="F151" s="309" t="s">
        <v>782</v>
      </c>
      <c r="G151" s="311"/>
      <c r="H151" s="312" t="s">
        <v>782</v>
      </c>
      <c r="I151" s="300"/>
      <c r="J151" s="313"/>
    </row>
    <row r="152" spans="1:10" ht="27">
      <c r="A152" s="303">
        <f>C152</f>
        <v>88269</v>
      </c>
      <c r="B152" s="303" t="s">
        <v>776</v>
      </c>
      <c r="C152" s="303">
        <v>88269</v>
      </c>
      <c r="D152" s="304" t="s">
        <v>97</v>
      </c>
      <c r="E152" s="303" t="s">
        <v>780</v>
      </c>
      <c r="F152" s="303"/>
      <c r="G152" s="305"/>
      <c r="H152" s="306"/>
      <c r="I152" s="307"/>
      <c r="J152" s="308">
        <f>SUM(H153:H161)</f>
        <v>19.399999999999995</v>
      </c>
    </row>
    <row r="153" spans="1:10">
      <c r="B153" s="309" t="s">
        <v>777</v>
      </c>
      <c r="C153" s="309">
        <v>12872</v>
      </c>
      <c r="D153" s="310" t="s">
        <v>831</v>
      </c>
      <c r="E153" s="309" t="s">
        <v>780</v>
      </c>
      <c r="F153" s="309">
        <v>1</v>
      </c>
      <c r="G153" s="311"/>
      <c r="H153" s="312">
        <v>14.01</v>
      </c>
      <c r="I153" s="300"/>
      <c r="J153" s="313"/>
    </row>
    <row r="154" spans="1:10">
      <c r="B154" s="309" t="s">
        <v>777</v>
      </c>
      <c r="C154" s="309">
        <v>37370</v>
      </c>
      <c r="D154" s="310" t="s">
        <v>822</v>
      </c>
      <c r="E154" s="309" t="s">
        <v>780</v>
      </c>
      <c r="F154" s="309">
        <v>1</v>
      </c>
      <c r="G154" s="311"/>
      <c r="H154" s="312">
        <v>1.04</v>
      </c>
      <c r="I154" s="300"/>
      <c r="J154" s="313"/>
    </row>
    <row r="155" spans="1:10">
      <c r="B155" s="309" t="s">
        <v>777</v>
      </c>
      <c r="C155" s="309">
        <v>37371</v>
      </c>
      <c r="D155" s="310" t="s">
        <v>823</v>
      </c>
      <c r="E155" s="309" t="s">
        <v>780</v>
      </c>
      <c r="F155" s="309">
        <v>1</v>
      </c>
      <c r="G155" s="311"/>
      <c r="H155" s="312">
        <v>1.1499999999999999</v>
      </c>
      <c r="I155" s="300"/>
      <c r="J155" s="313"/>
    </row>
    <row r="156" spans="1:10">
      <c r="B156" s="309" t="s">
        <v>777</v>
      </c>
      <c r="C156" s="309">
        <v>37372</v>
      </c>
      <c r="D156" s="310" t="s">
        <v>789</v>
      </c>
      <c r="E156" s="309" t="s">
        <v>780</v>
      </c>
      <c r="F156" s="309">
        <v>1</v>
      </c>
      <c r="G156" s="311"/>
      <c r="H156" s="312">
        <v>0.55000000000000004</v>
      </c>
      <c r="I156" s="300"/>
      <c r="J156" s="313"/>
    </row>
    <row r="157" spans="1:10">
      <c r="B157" s="309" t="s">
        <v>777</v>
      </c>
      <c r="C157" s="309">
        <v>37373</v>
      </c>
      <c r="D157" s="310" t="s">
        <v>790</v>
      </c>
      <c r="E157" s="309" t="s">
        <v>780</v>
      </c>
      <c r="F157" s="309">
        <v>1</v>
      </c>
      <c r="G157" s="311"/>
      <c r="H157" s="312">
        <v>0.06</v>
      </c>
      <c r="I157" s="300"/>
      <c r="J157" s="313"/>
    </row>
    <row r="158" spans="1:10" ht="40.5">
      <c r="B158" s="309" t="s">
        <v>777</v>
      </c>
      <c r="C158" s="309">
        <v>43465</v>
      </c>
      <c r="D158" s="310" t="s">
        <v>832</v>
      </c>
      <c r="E158" s="309" t="s">
        <v>780</v>
      </c>
      <c r="F158" s="309">
        <v>1</v>
      </c>
      <c r="G158" s="311"/>
      <c r="H158" s="312">
        <v>0.57999999999999996</v>
      </c>
      <c r="I158" s="300"/>
      <c r="J158" s="313"/>
    </row>
    <row r="159" spans="1:10" ht="40.5">
      <c r="B159" s="309" t="s">
        <v>777</v>
      </c>
      <c r="C159" s="309">
        <v>43489</v>
      </c>
      <c r="D159" s="310" t="s">
        <v>833</v>
      </c>
      <c r="E159" s="309" t="s">
        <v>780</v>
      </c>
      <c r="F159" s="309">
        <v>1</v>
      </c>
      <c r="G159" s="311"/>
      <c r="H159" s="312">
        <v>0.95</v>
      </c>
      <c r="I159" s="300"/>
      <c r="J159" s="313"/>
    </row>
    <row r="160" spans="1:10" ht="27">
      <c r="B160" s="309" t="s">
        <v>779</v>
      </c>
      <c r="C160" s="309">
        <v>95337</v>
      </c>
      <c r="D160" s="310" t="s">
        <v>834</v>
      </c>
      <c r="E160" s="309" t="s">
        <v>780</v>
      </c>
      <c r="F160" s="309">
        <v>1</v>
      </c>
      <c r="G160" s="311"/>
      <c r="H160" s="312">
        <v>0.11</v>
      </c>
      <c r="I160" s="300"/>
      <c r="J160" s="313"/>
    </row>
    <row r="161" spans="1:10">
      <c r="B161" s="309" t="s">
        <v>841</v>
      </c>
      <c r="C161" s="309"/>
      <c r="D161" s="310" t="s">
        <v>843</v>
      </c>
      <c r="E161" s="309" t="s">
        <v>842</v>
      </c>
      <c r="F161" s="309">
        <v>1</v>
      </c>
      <c r="G161" s="311"/>
      <c r="H161" s="312">
        <v>0.95</v>
      </c>
      <c r="I161" s="300"/>
      <c r="J161" s="313"/>
    </row>
    <row r="162" spans="1:10">
      <c r="B162" s="309" t="s">
        <v>93</v>
      </c>
      <c r="C162" s="309" t="s">
        <v>782</v>
      </c>
      <c r="D162" s="310" t="s">
        <v>782</v>
      </c>
      <c r="E162" s="309" t="s">
        <v>782</v>
      </c>
      <c r="F162" s="309" t="s">
        <v>782</v>
      </c>
      <c r="G162" s="311"/>
      <c r="H162" s="312" t="s">
        <v>782</v>
      </c>
      <c r="I162" s="300"/>
      <c r="J162" s="313"/>
    </row>
    <row r="163" spans="1:10" ht="27">
      <c r="A163" s="303">
        <f>C163</f>
        <v>88278</v>
      </c>
      <c r="B163" s="303" t="s">
        <v>776</v>
      </c>
      <c r="C163" s="303">
        <v>88278</v>
      </c>
      <c r="D163" s="304" t="s">
        <v>816</v>
      </c>
      <c r="E163" s="303" t="s">
        <v>780</v>
      </c>
      <c r="F163" s="303"/>
      <c r="G163" s="305"/>
      <c r="H163" s="306"/>
      <c r="I163" s="307"/>
      <c r="J163" s="308">
        <f>SUM(H164:H172)</f>
        <v>19.109999999999996</v>
      </c>
    </row>
    <row r="164" spans="1:10">
      <c r="B164" s="309" t="s">
        <v>777</v>
      </c>
      <c r="C164" s="309">
        <v>25957</v>
      </c>
      <c r="D164" s="310" t="s">
        <v>835</v>
      </c>
      <c r="E164" s="309" t="s">
        <v>780</v>
      </c>
      <c r="F164" s="309">
        <v>1</v>
      </c>
      <c r="G164" s="311"/>
      <c r="H164" s="312">
        <v>14.61</v>
      </c>
      <c r="I164" s="300"/>
      <c r="J164" s="313"/>
    </row>
    <row r="165" spans="1:10">
      <c r="B165" s="309" t="s">
        <v>777</v>
      </c>
      <c r="C165" s="309">
        <v>37370</v>
      </c>
      <c r="D165" s="310" t="s">
        <v>822</v>
      </c>
      <c r="E165" s="309" t="s">
        <v>780</v>
      </c>
      <c r="F165" s="309">
        <v>1</v>
      </c>
      <c r="G165" s="311"/>
      <c r="H165" s="312">
        <v>1.04</v>
      </c>
      <c r="I165" s="300"/>
      <c r="J165" s="313"/>
    </row>
    <row r="166" spans="1:10">
      <c r="B166" s="309" t="s">
        <v>777</v>
      </c>
      <c r="C166" s="309">
        <v>37371</v>
      </c>
      <c r="D166" s="310" t="s">
        <v>823</v>
      </c>
      <c r="E166" s="309" t="s">
        <v>780</v>
      </c>
      <c r="F166" s="309">
        <v>1</v>
      </c>
      <c r="G166" s="311"/>
      <c r="H166" s="312">
        <v>1.1499999999999999</v>
      </c>
      <c r="I166" s="300"/>
      <c r="J166" s="313"/>
    </row>
    <row r="167" spans="1:10">
      <c r="B167" s="309" t="s">
        <v>777</v>
      </c>
      <c r="C167" s="309">
        <v>37372</v>
      </c>
      <c r="D167" s="310" t="s">
        <v>789</v>
      </c>
      <c r="E167" s="309" t="s">
        <v>780</v>
      </c>
      <c r="F167" s="309">
        <v>1</v>
      </c>
      <c r="G167" s="311"/>
      <c r="H167" s="312">
        <v>0.55000000000000004</v>
      </c>
      <c r="I167" s="300"/>
      <c r="J167" s="313"/>
    </row>
    <row r="168" spans="1:10">
      <c r="B168" s="309" t="s">
        <v>777</v>
      </c>
      <c r="C168" s="309">
        <v>37373</v>
      </c>
      <c r="D168" s="310" t="s">
        <v>790</v>
      </c>
      <c r="E168" s="309" t="s">
        <v>780</v>
      </c>
      <c r="F168" s="309">
        <v>1</v>
      </c>
      <c r="G168" s="311"/>
      <c r="H168" s="312">
        <v>0.06</v>
      </c>
      <c r="I168" s="300"/>
      <c r="J168" s="313"/>
    </row>
    <row r="169" spans="1:10" ht="40.5">
      <c r="B169" s="309" t="s">
        <v>777</v>
      </c>
      <c r="C169" s="309">
        <v>43464</v>
      </c>
      <c r="D169" s="310" t="s">
        <v>836</v>
      </c>
      <c r="E169" s="309" t="s">
        <v>780</v>
      </c>
      <c r="F169" s="309">
        <v>1</v>
      </c>
      <c r="G169" s="311"/>
      <c r="H169" s="312">
        <v>0.01</v>
      </c>
      <c r="I169" s="300"/>
      <c r="J169" s="313"/>
    </row>
    <row r="170" spans="1:10" ht="40.5">
      <c r="B170" s="309" t="s">
        <v>777</v>
      </c>
      <c r="C170" s="309">
        <v>43488</v>
      </c>
      <c r="D170" s="310" t="s">
        <v>837</v>
      </c>
      <c r="E170" s="309" t="s">
        <v>780</v>
      </c>
      <c r="F170" s="309">
        <v>1</v>
      </c>
      <c r="G170" s="311"/>
      <c r="H170" s="312">
        <v>0.63</v>
      </c>
      <c r="I170" s="300"/>
      <c r="J170" s="313"/>
    </row>
    <row r="171" spans="1:10" ht="40.5">
      <c r="B171" s="309" t="s">
        <v>779</v>
      </c>
      <c r="C171" s="309">
        <v>95344</v>
      </c>
      <c r="D171" s="310" t="s">
        <v>838</v>
      </c>
      <c r="E171" s="309" t="s">
        <v>780</v>
      </c>
      <c r="F171" s="309">
        <v>1</v>
      </c>
      <c r="G171" s="311"/>
      <c r="H171" s="312">
        <v>0.11</v>
      </c>
      <c r="I171" s="300"/>
      <c r="J171" s="313"/>
    </row>
    <row r="172" spans="1:10">
      <c r="B172" s="309" t="s">
        <v>841</v>
      </c>
      <c r="C172" s="309"/>
      <c r="D172" s="310" t="s">
        <v>843</v>
      </c>
      <c r="E172" s="309" t="s">
        <v>842</v>
      </c>
      <c r="F172" s="309">
        <v>1</v>
      </c>
      <c r="G172" s="311"/>
      <c r="H172" s="312">
        <v>0.95</v>
      </c>
      <c r="I172" s="300"/>
      <c r="J172" s="313"/>
    </row>
    <row r="173" spans="1:10">
      <c r="B173" s="309" t="s">
        <v>93</v>
      </c>
      <c r="C173" s="309" t="s">
        <v>782</v>
      </c>
      <c r="D173" s="310" t="s">
        <v>782</v>
      </c>
      <c r="E173" s="309" t="s">
        <v>782</v>
      </c>
      <c r="F173" s="309" t="s">
        <v>782</v>
      </c>
      <c r="G173" s="311"/>
      <c r="H173" s="312" t="s">
        <v>782</v>
      </c>
      <c r="I173" s="300"/>
      <c r="J173" s="313"/>
    </row>
    <row r="174" spans="1:10" ht="27">
      <c r="A174" s="303">
        <f>C174</f>
        <v>88309</v>
      </c>
      <c r="B174" s="303" t="s">
        <v>776</v>
      </c>
      <c r="C174" s="303">
        <v>88309</v>
      </c>
      <c r="D174" s="304" t="s">
        <v>820</v>
      </c>
      <c r="E174" s="303" t="s">
        <v>780</v>
      </c>
      <c r="F174" s="303"/>
      <c r="G174" s="305"/>
      <c r="H174" s="306"/>
      <c r="I174" s="307"/>
      <c r="J174" s="308">
        <f>SUM(H175:H183)</f>
        <v>20.129999999999995</v>
      </c>
    </row>
    <row r="175" spans="1:10">
      <c r="B175" s="309" t="s">
        <v>777</v>
      </c>
      <c r="C175" s="309">
        <v>4750</v>
      </c>
      <c r="D175" s="310" t="s">
        <v>839</v>
      </c>
      <c r="E175" s="309" t="s">
        <v>780</v>
      </c>
      <c r="F175" s="309">
        <v>1</v>
      </c>
      <c r="G175" s="311"/>
      <c r="H175" s="312">
        <v>14.63</v>
      </c>
      <c r="I175" s="300"/>
      <c r="J175" s="313"/>
    </row>
    <row r="176" spans="1:10">
      <c r="B176" s="309" t="s">
        <v>777</v>
      </c>
      <c r="C176" s="309">
        <v>37370</v>
      </c>
      <c r="D176" s="310" t="s">
        <v>822</v>
      </c>
      <c r="E176" s="309" t="s">
        <v>780</v>
      </c>
      <c r="F176" s="309">
        <v>1</v>
      </c>
      <c r="G176" s="311"/>
      <c r="H176" s="312">
        <v>1.04</v>
      </c>
      <c r="I176" s="300"/>
      <c r="J176" s="313"/>
    </row>
    <row r="177" spans="1:10">
      <c r="B177" s="309" t="s">
        <v>777</v>
      </c>
      <c r="C177" s="309">
        <v>37371</v>
      </c>
      <c r="D177" s="310" t="s">
        <v>823</v>
      </c>
      <c r="E177" s="309" t="s">
        <v>780</v>
      </c>
      <c r="F177" s="309">
        <v>1</v>
      </c>
      <c r="G177" s="311"/>
      <c r="H177" s="312">
        <v>1.1499999999999999</v>
      </c>
      <c r="I177" s="300"/>
      <c r="J177" s="313"/>
    </row>
    <row r="178" spans="1:10">
      <c r="B178" s="309" t="s">
        <v>777</v>
      </c>
      <c r="C178" s="309">
        <v>37372</v>
      </c>
      <c r="D178" s="310" t="s">
        <v>789</v>
      </c>
      <c r="E178" s="309" t="s">
        <v>780</v>
      </c>
      <c r="F178" s="309">
        <v>1</v>
      </c>
      <c r="G178" s="311"/>
      <c r="H178" s="312">
        <v>0.55000000000000004</v>
      </c>
      <c r="I178" s="300"/>
      <c r="J178" s="313"/>
    </row>
    <row r="179" spans="1:10">
      <c r="B179" s="309" t="s">
        <v>777</v>
      </c>
      <c r="C179" s="309">
        <v>37373</v>
      </c>
      <c r="D179" s="310" t="s">
        <v>790</v>
      </c>
      <c r="E179" s="309" t="s">
        <v>780</v>
      </c>
      <c r="F179" s="309">
        <v>1</v>
      </c>
      <c r="G179" s="311"/>
      <c r="H179" s="312">
        <v>0.06</v>
      </c>
      <c r="I179" s="300"/>
      <c r="J179" s="313"/>
    </row>
    <row r="180" spans="1:10" ht="40.5">
      <c r="B180" s="309" t="s">
        <v>777</v>
      </c>
      <c r="C180" s="309">
        <v>43465</v>
      </c>
      <c r="D180" s="310" t="s">
        <v>832</v>
      </c>
      <c r="E180" s="309" t="s">
        <v>780</v>
      </c>
      <c r="F180" s="309">
        <v>1</v>
      </c>
      <c r="G180" s="311"/>
      <c r="H180" s="312">
        <v>0.57999999999999996</v>
      </c>
      <c r="I180" s="300"/>
      <c r="J180" s="313"/>
    </row>
    <row r="181" spans="1:10" ht="40.5">
      <c r="B181" s="309" t="s">
        <v>777</v>
      </c>
      <c r="C181" s="309">
        <v>43489</v>
      </c>
      <c r="D181" s="310" t="s">
        <v>833</v>
      </c>
      <c r="E181" s="309" t="s">
        <v>780</v>
      </c>
      <c r="F181" s="309">
        <v>1</v>
      </c>
      <c r="G181" s="311"/>
      <c r="H181" s="312">
        <v>0.95</v>
      </c>
      <c r="I181" s="300"/>
      <c r="J181" s="313"/>
    </row>
    <row r="182" spans="1:10" ht="27">
      <c r="B182" s="309" t="s">
        <v>779</v>
      </c>
      <c r="C182" s="309">
        <v>95371</v>
      </c>
      <c r="D182" s="310" t="s">
        <v>840</v>
      </c>
      <c r="E182" s="309" t="s">
        <v>780</v>
      </c>
      <c r="F182" s="309">
        <v>1</v>
      </c>
      <c r="G182" s="311"/>
      <c r="H182" s="312">
        <v>0.22</v>
      </c>
      <c r="I182" s="300"/>
      <c r="J182" s="313"/>
    </row>
    <row r="183" spans="1:10">
      <c r="B183" s="309" t="s">
        <v>841</v>
      </c>
      <c r="C183" s="309"/>
      <c r="D183" s="310" t="s">
        <v>843</v>
      </c>
      <c r="E183" s="309" t="s">
        <v>842</v>
      </c>
      <c r="F183" s="309">
        <v>1</v>
      </c>
      <c r="G183" s="311"/>
      <c r="H183" s="312">
        <v>0.95</v>
      </c>
      <c r="I183" s="300"/>
      <c r="J183" s="313"/>
    </row>
    <row r="185" spans="1:10" ht="40.5">
      <c r="A185" s="303">
        <f>C185</f>
        <v>99803</v>
      </c>
      <c r="B185" s="303" t="s">
        <v>776</v>
      </c>
      <c r="C185" s="303">
        <v>99803</v>
      </c>
      <c r="D185" s="304" t="s">
        <v>164</v>
      </c>
      <c r="E185" s="303" t="s">
        <v>104</v>
      </c>
      <c r="F185" s="303"/>
      <c r="G185" s="305"/>
      <c r="H185" s="306"/>
      <c r="I185" s="307">
        <v>1.1499999999999999</v>
      </c>
      <c r="J185" s="308">
        <v>0.49</v>
      </c>
    </row>
    <row r="186" spans="1:10" ht="27">
      <c r="B186" s="309" t="s">
        <v>779</v>
      </c>
      <c r="C186" s="309">
        <v>88316</v>
      </c>
      <c r="D186" s="310" t="s">
        <v>781</v>
      </c>
      <c r="E186" s="309" t="s">
        <v>780</v>
      </c>
      <c r="F186" s="309">
        <v>9.7000000000000003E-2</v>
      </c>
      <c r="G186" s="311"/>
      <c r="H186" s="312">
        <v>16.86</v>
      </c>
      <c r="I186" s="300"/>
      <c r="J186" s="313"/>
    </row>
    <row r="187" spans="1:10">
      <c r="C187" s="261" t="s">
        <v>782</v>
      </c>
      <c r="D187" s="261" t="s">
        <v>782</v>
      </c>
      <c r="E187" s="261" t="s">
        <v>782</v>
      </c>
      <c r="F187" s="261" t="s">
        <v>782</v>
      </c>
      <c r="G187" s="261" t="s">
        <v>782</v>
      </c>
    </row>
    <row r="188" spans="1:10" ht="40.5">
      <c r="A188" s="303">
        <v>10775</v>
      </c>
      <c r="B188" s="303" t="s">
        <v>846</v>
      </c>
      <c r="C188" s="303">
        <v>10775</v>
      </c>
      <c r="D188" s="304" t="s">
        <v>844</v>
      </c>
      <c r="E188" s="303" t="s">
        <v>845</v>
      </c>
      <c r="F188" s="303">
        <v>1</v>
      </c>
      <c r="G188" s="305">
        <v>570</v>
      </c>
      <c r="H188" s="306"/>
      <c r="I188" s="307">
        <v>570</v>
      </c>
      <c r="J188" s="308"/>
    </row>
    <row r="190" spans="1:10" ht="27">
      <c r="A190" s="303">
        <f>C190</f>
        <v>90780</v>
      </c>
      <c r="B190" s="303" t="s">
        <v>776</v>
      </c>
      <c r="C190" s="303">
        <v>90780</v>
      </c>
      <c r="D190" s="304" t="s">
        <v>72</v>
      </c>
      <c r="E190" s="303" t="s">
        <v>780</v>
      </c>
      <c r="F190" s="303"/>
      <c r="G190" s="305"/>
      <c r="H190" s="306"/>
      <c r="I190" s="307">
        <f>0.95+56.24</f>
        <v>57.190000000000005</v>
      </c>
      <c r="J190" s="308">
        <v>1.63</v>
      </c>
    </row>
    <row r="191" spans="1:10">
      <c r="B191" s="309" t="s">
        <v>777</v>
      </c>
      <c r="C191" s="309">
        <v>4069</v>
      </c>
      <c r="D191" s="310" t="s">
        <v>847</v>
      </c>
      <c r="E191" s="309" t="s">
        <v>780</v>
      </c>
      <c r="F191" s="309">
        <v>1</v>
      </c>
      <c r="G191" s="311"/>
      <c r="H191" s="312">
        <v>55.41</v>
      </c>
      <c r="I191" s="300"/>
      <c r="J191" s="313"/>
    </row>
    <row r="192" spans="1:10">
      <c r="B192" s="309" t="s">
        <v>777</v>
      </c>
      <c r="C192" s="309">
        <v>37372</v>
      </c>
      <c r="D192" s="310" t="s">
        <v>789</v>
      </c>
      <c r="E192" s="309" t="s">
        <v>780</v>
      </c>
      <c r="F192" s="309">
        <v>1</v>
      </c>
      <c r="G192" s="311">
        <v>0.55000000000000004</v>
      </c>
      <c r="H192" s="312"/>
      <c r="I192" s="300"/>
      <c r="J192" s="313"/>
    </row>
    <row r="193" spans="1:12">
      <c r="B193" s="309" t="s">
        <v>777</v>
      </c>
      <c r="C193" s="309">
        <v>37373</v>
      </c>
      <c r="D193" s="310" t="s">
        <v>790</v>
      </c>
      <c r="E193" s="309" t="s">
        <v>780</v>
      </c>
      <c r="F193" s="309">
        <v>1</v>
      </c>
      <c r="G193" s="311">
        <v>0.06</v>
      </c>
      <c r="H193" s="312"/>
      <c r="I193" s="300"/>
      <c r="J193" s="313"/>
    </row>
    <row r="194" spans="1:12" ht="40.5">
      <c r="B194" s="309" t="s">
        <v>777</v>
      </c>
      <c r="C194" s="309">
        <v>43463</v>
      </c>
      <c r="D194" s="310" t="s">
        <v>848</v>
      </c>
      <c r="E194" s="309" t="s">
        <v>780</v>
      </c>
      <c r="F194" s="309">
        <v>1</v>
      </c>
      <c r="G194" s="311">
        <v>0.08</v>
      </c>
      <c r="H194" s="312"/>
      <c r="I194" s="300"/>
      <c r="J194" s="313"/>
    </row>
    <row r="195" spans="1:12" ht="40.5">
      <c r="B195" s="309" t="s">
        <v>777</v>
      </c>
      <c r="C195" s="309">
        <v>43487</v>
      </c>
      <c r="D195" s="310" t="s">
        <v>849</v>
      </c>
      <c r="E195" s="309" t="s">
        <v>780</v>
      </c>
      <c r="F195" s="309">
        <v>1</v>
      </c>
      <c r="G195" s="311">
        <v>0.94</v>
      </c>
      <c r="H195" s="312"/>
      <c r="I195" s="300"/>
      <c r="J195" s="313"/>
    </row>
    <row r="196" spans="1:12" ht="40.5">
      <c r="B196" s="309" t="s">
        <v>779</v>
      </c>
      <c r="C196" s="309">
        <v>95405</v>
      </c>
      <c r="D196" s="310" t="s">
        <v>850</v>
      </c>
      <c r="E196" s="309" t="s">
        <v>780</v>
      </c>
      <c r="F196" s="309">
        <v>1</v>
      </c>
      <c r="G196" s="311"/>
      <c r="H196" s="312">
        <v>0.83</v>
      </c>
      <c r="I196" s="300"/>
      <c r="J196" s="313"/>
    </row>
    <row r="197" spans="1:12">
      <c r="B197" s="309" t="s">
        <v>841</v>
      </c>
      <c r="C197" s="309"/>
      <c r="D197" s="310" t="s">
        <v>843</v>
      </c>
      <c r="E197" s="309" t="s">
        <v>842</v>
      </c>
      <c r="F197" s="309">
        <v>1</v>
      </c>
      <c r="G197" s="311"/>
      <c r="H197" s="312">
        <v>0.95</v>
      </c>
      <c r="I197" s="300"/>
      <c r="J197" s="313"/>
    </row>
    <row r="199" spans="1:12" ht="27">
      <c r="A199" s="303" t="s">
        <v>861</v>
      </c>
      <c r="B199" s="378" t="s">
        <v>864</v>
      </c>
      <c r="C199" s="303"/>
      <c r="D199" s="304" t="s">
        <v>855</v>
      </c>
      <c r="E199" s="303" t="s">
        <v>104</v>
      </c>
      <c r="F199" s="303"/>
      <c r="G199" s="305"/>
      <c r="H199" s="306"/>
      <c r="I199" s="307">
        <f>SUMPRODUCT(F203:F204,H203:H204)</f>
        <v>24.675839999999997</v>
      </c>
      <c r="J199" s="308">
        <f>SUMPRODUCT(F200:F204,G200:G204)</f>
        <v>959.14733799999999</v>
      </c>
      <c r="L199" s="261" t="str">
        <f>UPPER(B209)</f>
        <v>INSUMO</v>
      </c>
    </row>
    <row r="200" spans="1:12" ht="27">
      <c r="B200" s="309" t="s">
        <v>858</v>
      </c>
      <c r="C200" s="309"/>
      <c r="D200" s="310" t="s">
        <v>859</v>
      </c>
      <c r="E200" s="309" t="s">
        <v>104</v>
      </c>
      <c r="F200" s="309">
        <f>1*1.2</f>
        <v>1.2</v>
      </c>
      <c r="G200" s="311">
        <v>790</v>
      </c>
      <c r="H200" s="312"/>
      <c r="I200" s="300"/>
      <c r="J200" s="313"/>
    </row>
    <row r="201" spans="1:12" ht="54">
      <c r="B201" s="309" t="s">
        <v>777</v>
      </c>
      <c r="C201" s="309">
        <v>4377</v>
      </c>
      <c r="D201" s="310" t="s">
        <v>853</v>
      </c>
      <c r="E201" s="309" t="s">
        <v>785</v>
      </c>
      <c r="F201" s="309">
        <v>17.413</v>
      </c>
      <c r="G201" s="311">
        <v>0.13</v>
      </c>
      <c r="H201" s="312"/>
      <c r="I201" s="300"/>
      <c r="J201" s="313"/>
    </row>
    <row r="202" spans="1:12" ht="27">
      <c r="B202" s="309" t="s">
        <v>777</v>
      </c>
      <c r="C202" s="309">
        <v>39961</v>
      </c>
      <c r="D202" s="310" t="s">
        <v>854</v>
      </c>
      <c r="E202" s="309" t="s">
        <v>785</v>
      </c>
      <c r="F202" s="309">
        <f>0.424*F200</f>
        <v>0.50879999999999992</v>
      </c>
      <c r="G202" s="311">
        <v>17.46</v>
      </c>
      <c r="H202" s="312"/>
      <c r="I202" s="300"/>
      <c r="J202" s="313"/>
    </row>
    <row r="203" spans="1:12" ht="27">
      <c r="B203" s="309" t="s">
        <v>779</v>
      </c>
      <c r="C203" s="309">
        <v>88309</v>
      </c>
      <c r="D203" s="310" t="s">
        <v>820</v>
      </c>
      <c r="E203" s="309" t="s">
        <v>780</v>
      </c>
      <c r="F203" s="309">
        <f>0.72*F200</f>
        <v>0.86399999999999999</v>
      </c>
      <c r="G203" s="311"/>
      <c r="H203" s="312">
        <v>20.13</v>
      </c>
      <c r="I203" s="300"/>
      <c r="J203" s="313"/>
    </row>
    <row r="204" spans="1:12" ht="27">
      <c r="B204" s="309" t="s">
        <v>779</v>
      </c>
      <c r="C204" s="309">
        <v>88316</v>
      </c>
      <c r="D204" s="310" t="s">
        <v>781</v>
      </c>
      <c r="E204" s="309" t="s">
        <v>780</v>
      </c>
      <c r="F204" s="309">
        <f>0.36*F200</f>
        <v>0.432</v>
      </c>
      <c r="G204" s="311"/>
      <c r="H204" s="312">
        <v>16.86</v>
      </c>
      <c r="I204" s="300"/>
      <c r="J204" s="313"/>
    </row>
    <row r="205" spans="1:12">
      <c r="B205" s="309"/>
      <c r="C205" s="309"/>
      <c r="D205" s="310"/>
      <c r="E205" s="309"/>
      <c r="F205" s="309"/>
      <c r="G205" s="311"/>
      <c r="H205" s="312"/>
      <c r="I205" s="300"/>
      <c r="J205" s="313"/>
    </row>
    <row r="207" spans="1:12" ht="27">
      <c r="A207" s="303" t="s">
        <v>862</v>
      </c>
      <c r="B207" s="378" t="s">
        <v>864</v>
      </c>
      <c r="C207" s="303">
        <v>100674</v>
      </c>
      <c r="D207" s="304" t="s">
        <v>856</v>
      </c>
      <c r="E207" s="303" t="s">
        <v>104</v>
      </c>
      <c r="F207" s="303"/>
      <c r="G207" s="305"/>
      <c r="H207" s="306"/>
      <c r="I207" s="307">
        <f>SUMPRODUCT(F211:F212,H211:H212)</f>
        <v>54.286847999999999</v>
      </c>
      <c r="J207" s="308">
        <f>SUMPRODUCT(F208:F212,G208:G212)</f>
        <v>2107.4077156000003</v>
      </c>
      <c r="K207" s="377"/>
    </row>
    <row r="208" spans="1:12" ht="27">
      <c r="B208" s="309" t="s">
        <v>858</v>
      </c>
      <c r="C208" s="309"/>
      <c r="D208" s="310" t="s">
        <v>859</v>
      </c>
      <c r="E208" s="309" t="s">
        <v>104</v>
      </c>
      <c r="F208" s="309">
        <f>2.2*1.2</f>
        <v>2.64</v>
      </c>
      <c r="G208" s="311">
        <v>790</v>
      </c>
      <c r="H208" s="312"/>
      <c r="I208" s="300"/>
      <c r="J208" s="313"/>
    </row>
    <row r="209" spans="1:11" ht="54">
      <c r="B209" s="309" t="s">
        <v>777</v>
      </c>
      <c r="C209" s="309">
        <v>4377</v>
      </c>
      <c r="D209" s="310" t="s">
        <v>853</v>
      </c>
      <c r="E209" s="309" t="s">
        <v>785</v>
      </c>
      <c r="F209" s="309">
        <v>17.413</v>
      </c>
      <c r="G209" s="311">
        <v>0.13</v>
      </c>
      <c r="H209" s="312"/>
      <c r="I209" s="300"/>
      <c r="J209" s="313"/>
      <c r="K209" s="377"/>
    </row>
    <row r="210" spans="1:11" ht="27">
      <c r="B210" s="309" t="s">
        <v>777</v>
      </c>
      <c r="C210" s="309">
        <v>39961</v>
      </c>
      <c r="D210" s="310" t="s">
        <v>854</v>
      </c>
      <c r="E210" s="309" t="s">
        <v>785</v>
      </c>
      <c r="F210" s="309">
        <f>0.424*F208</f>
        <v>1.1193599999999999</v>
      </c>
      <c r="G210" s="311">
        <v>17.46</v>
      </c>
      <c r="H210" s="312"/>
      <c r="I210" s="300"/>
      <c r="J210" s="313"/>
    </row>
    <row r="211" spans="1:11" ht="27">
      <c r="B211" s="309" t="s">
        <v>779</v>
      </c>
      <c r="C211" s="309">
        <v>88309</v>
      </c>
      <c r="D211" s="310" t="s">
        <v>820</v>
      </c>
      <c r="E211" s="309" t="s">
        <v>780</v>
      </c>
      <c r="F211" s="309">
        <f>0.72*F208</f>
        <v>1.9008</v>
      </c>
      <c r="G211" s="311"/>
      <c r="H211" s="312">
        <v>20.13</v>
      </c>
      <c r="I211" s="300"/>
      <c r="J211" s="313"/>
    </row>
    <row r="212" spans="1:11" ht="27">
      <c r="B212" s="309" t="s">
        <v>779</v>
      </c>
      <c r="C212" s="309">
        <v>88316</v>
      </c>
      <c r="D212" s="310" t="s">
        <v>781</v>
      </c>
      <c r="E212" s="309" t="s">
        <v>780</v>
      </c>
      <c r="F212" s="309">
        <f>0.36*F208</f>
        <v>0.95040000000000002</v>
      </c>
      <c r="G212" s="311"/>
      <c r="H212" s="312">
        <v>16.86</v>
      </c>
      <c r="I212" s="300"/>
      <c r="J212" s="313"/>
    </row>
    <row r="213" spans="1:11">
      <c r="B213" s="309"/>
      <c r="C213" s="309"/>
      <c r="D213" s="310"/>
      <c r="E213" s="309"/>
      <c r="F213" s="309"/>
      <c r="G213" s="311"/>
      <c r="H213" s="312"/>
      <c r="I213" s="300"/>
      <c r="J213" s="313"/>
    </row>
    <row r="215" spans="1:11" ht="27">
      <c r="A215" s="303" t="s">
        <v>863</v>
      </c>
      <c r="B215" s="378" t="s">
        <v>864</v>
      </c>
      <c r="C215" s="303">
        <v>100674</v>
      </c>
      <c r="D215" s="304" t="s">
        <v>857</v>
      </c>
      <c r="E215" s="303" t="s">
        <v>104</v>
      </c>
      <c r="F215" s="303"/>
      <c r="G215" s="305"/>
      <c r="H215" s="306"/>
      <c r="I215" s="307">
        <f>SUMPRODUCT(F219:F220,H219:H220)</f>
        <v>65.390975999999995</v>
      </c>
      <c r="J215" s="308">
        <f>SUMPRODUCT(F216:F220,G216:G220)</f>
        <v>2538.0053572000006</v>
      </c>
    </row>
    <row r="216" spans="1:11" ht="27">
      <c r="B216" s="309" t="s">
        <v>858</v>
      </c>
      <c r="C216" s="309"/>
      <c r="D216" s="310" t="s">
        <v>859</v>
      </c>
      <c r="E216" s="309" t="s">
        <v>104</v>
      </c>
      <c r="F216" s="309">
        <v>3.18</v>
      </c>
      <c r="G216" s="311">
        <v>790</v>
      </c>
      <c r="H216" s="312"/>
      <c r="I216" s="300"/>
      <c r="J216" s="313"/>
    </row>
    <row r="217" spans="1:11" ht="54">
      <c r="B217" s="309" t="s">
        <v>777</v>
      </c>
      <c r="C217" s="309">
        <v>4377</v>
      </c>
      <c r="D217" s="310" t="s">
        <v>853</v>
      </c>
      <c r="E217" s="309" t="s">
        <v>785</v>
      </c>
      <c r="F217" s="309">
        <v>17.413</v>
      </c>
      <c r="G217" s="311">
        <v>0.13</v>
      </c>
      <c r="H217" s="312"/>
      <c r="I217" s="300"/>
      <c r="J217" s="313"/>
    </row>
    <row r="218" spans="1:11" ht="27">
      <c r="B218" s="309" t="s">
        <v>777</v>
      </c>
      <c r="C218" s="309">
        <v>39961</v>
      </c>
      <c r="D218" s="310" t="s">
        <v>854</v>
      </c>
      <c r="E218" s="309" t="s">
        <v>785</v>
      </c>
      <c r="F218" s="309">
        <f>0.424*F216</f>
        <v>1.34832</v>
      </c>
      <c r="G218" s="311">
        <v>17.46</v>
      </c>
      <c r="H218" s="312"/>
      <c r="I218" s="300"/>
      <c r="J218" s="313"/>
    </row>
    <row r="219" spans="1:11" ht="27">
      <c r="B219" s="309" t="s">
        <v>779</v>
      </c>
      <c r="C219" s="309">
        <v>88309</v>
      </c>
      <c r="D219" s="310" t="s">
        <v>820</v>
      </c>
      <c r="E219" s="309" t="s">
        <v>780</v>
      </c>
      <c r="F219" s="309">
        <f>0.72*F216</f>
        <v>2.2896000000000001</v>
      </c>
      <c r="G219" s="311"/>
      <c r="H219" s="312">
        <v>20.13</v>
      </c>
      <c r="I219" s="300"/>
      <c r="J219" s="313"/>
    </row>
    <row r="220" spans="1:11" ht="27">
      <c r="B220" s="309" t="s">
        <v>779</v>
      </c>
      <c r="C220" s="309">
        <v>88316</v>
      </c>
      <c r="D220" s="310" t="s">
        <v>781</v>
      </c>
      <c r="E220" s="309" t="s">
        <v>780</v>
      </c>
      <c r="F220" s="309">
        <f>0.36*F216</f>
        <v>1.1448</v>
      </c>
      <c r="G220" s="311"/>
      <c r="H220" s="312">
        <v>16.86</v>
      </c>
      <c r="I220" s="300"/>
      <c r="J220" s="313"/>
    </row>
    <row r="221" spans="1:11">
      <c r="B221" s="309"/>
      <c r="C221" s="309"/>
      <c r="D221" s="310"/>
      <c r="E221" s="309"/>
      <c r="F221" s="309"/>
      <c r="G221" s="311"/>
      <c r="H221" s="312"/>
      <c r="I221" s="300"/>
      <c r="J221" s="313"/>
    </row>
    <row r="223" spans="1:11">
      <c r="A223"/>
      <c r="B223"/>
      <c r="C223"/>
      <c r="D223"/>
      <c r="E223"/>
      <c r="F223"/>
      <c r="G223"/>
      <c r="H223"/>
      <c r="I223"/>
      <c r="J223"/>
    </row>
    <row r="224" spans="1:11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</sheetData>
  <autoFilter ref="A9:J284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115" zoomScaleNormal="100" zoomScaleSheetLayoutView="115" workbookViewId="0">
      <selection activeCell="O7" sqref="O7"/>
    </sheetView>
  </sheetViews>
  <sheetFormatPr defaultRowHeight="12.75"/>
  <cols>
    <col min="2" max="2" width="2" customWidth="1"/>
    <col min="3" max="3" width="31.5703125" customWidth="1"/>
    <col min="4" max="6" width="11.7109375" style="47" customWidth="1"/>
    <col min="7" max="7" width="11.7109375" style="247" customWidth="1"/>
    <col min="8" max="8" width="11.7109375" customWidth="1"/>
    <col min="9" max="9" width="14.140625" customWidth="1"/>
    <col min="10" max="10" width="14.140625" style="196" customWidth="1"/>
    <col min="11" max="12" width="9.140625" style="196"/>
    <col min="13" max="13" width="10.28515625" style="196" bestFit="1" customWidth="1"/>
  </cols>
  <sheetData>
    <row r="1" spans="1:13" ht="15.75" thickBot="1">
      <c r="A1" s="222" t="s">
        <v>10</v>
      </c>
      <c r="B1" s="65"/>
      <c r="C1" s="86" t="s">
        <v>13</v>
      </c>
      <c r="D1" s="87" t="s">
        <v>417</v>
      </c>
      <c r="E1" s="87" t="s">
        <v>418</v>
      </c>
      <c r="F1" s="87" t="s">
        <v>867</v>
      </c>
      <c r="G1" s="189" t="s">
        <v>419</v>
      </c>
      <c r="I1" s="91"/>
      <c r="J1" s="193"/>
    </row>
    <row r="2" spans="1:13" ht="26.25" thickBot="1">
      <c r="A2" s="223" t="s">
        <v>86</v>
      </c>
      <c r="B2" s="60" t="s">
        <v>63</v>
      </c>
      <c r="C2" s="90"/>
      <c r="D2" s="238" t="str">
        <f>J2&amp;"%"&amp;"
R$"&amp;ROUND(J2*$M2/100,2)</f>
        <v>33,3%
R$18490,94</v>
      </c>
      <c r="E2" s="239" t="str">
        <f>K2&amp;"%"&amp;"
R$"&amp;ROUND(K2*$M2/100,2)</f>
        <v>33,3%
R$18490,94</v>
      </c>
      <c r="F2" s="239" t="str">
        <f>L2&amp;"%"&amp;"
R$"&amp;ROUND(L2*$M2/100,2)</f>
        <v>33,4%
R$18546,47</v>
      </c>
      <c r="G2" s="242">
        <f>M2</f>
        <v>55528.350000000013</v>
      </c>
      <c r="I2" s="37"/>
      <c r="J2" s="232">
        <v>33.299999999999997</v>
      </c>
      <c r="K2" s="196">
        <v>33.299999999999997</v>
      </c>
      <c r="L2" s="196">
        <v>33.4</v>
      </c>
      <c r="M2" s="196">
        <f>SUMIF(Orçamento!P:P,'Cronograma físico financeiro'!A2,Orçamento!M:M)</f>
        <v>55528.350000000013</v>
      </c>
    </row>
    <row r="3" spans="1:13" ht="13.5" thickBot="1">
      <c r="A3" s="225"/>
      <c r="B3" s="34"/>
      <c r="C3" s="61"/>
      <c r="D3" s="234"/>
      <c r="E3" s="234"/>
      <c r="F3" s="234"/>
      <c r="G3" s="243"/>
      <c r="I3" s="97"/>
      <c r="J3" s="193"/>
      <c r="M3" s="196">
        <f>SUMIF(Orçamento!P:P,'Cronograma físico financeiro'!A3,Orçamento!M:M)</f>
        <v>0</v>
      </c>
    </row>
    <row r="4" spans="1:13" ht="13.5" thickBot="1">
      <c r="A4" s="226" t="s">
        <v>275</v>
      </c>
      <c r="B4" s="112" t="s">
        <v>203</v>
      </c>
      <c r="C4" s="96"/>
      <c r="D4" s="235"/>
      <c r="E4" s="236"/>
      <c r="F4" s="236"/>
      <c r="G4" s="244">
        <f>SUM(G5:G13)</f>
        <v>36591.050000000003</v>
      </c>
      <c r="I4" s="50"/>
      <c r="J4" s="232"/>
      <c r="K4" s="196">
        <v>0.5</v>
      </c>
      <c r="M4" s="196">
        <f>SUMIF(Orçamento!P:P,'Cronograma físico financeiro'!A4,Orçamento!M:M)</f>
        <v>0</v>
      </c>
    </row>
    <row r="5" spans="1:13" ht="32.25" customHeight="1" thickBot="1">
      <c r="A5" s="224" t="s">
        <v>276</v>
      </c>
      <c r="B5" s="49"/>
      <c r="C5" s="197" t="s">
        <v>99</v>
      </c>
      <c r="D5" s="238" t="str">
        <f>J5&amp;"%"&amp;"
R$"&amp;ROUND(J5*$M5/100,2)</f>
        <v>70%
R$70,48</v>
      </c>
      <c r="E5" s="239" t="str">
        <f>K5&amp;"%"&amp;"
R$"&amp;ROUND(K5*$M5/100,2)</f>
        <v>30%
R$30,2</v>
      </c>
      <c r="F5" s="239" t="str">
        <f>L5&amp;"%"&amp;"
R$"&amp;ROUND(L5*$M5/100,2)</f>
        <v>%
R$0</v>
      </c>
      <c r="G5" s="245">
        <f>M5</f>
        <v>100.68</v>
      </c>
      <c r="I5" s="50"/>
      <c r="J5" s="232">
        <v>70</v>
      </c>
      <c r="K5" s="196">
        <v>30</v>
      </c>
      <c r="M5" s="196">
        <f>SUMIF(Orçamento!P:P,'Cronograma físico financeiro'!A5,Orçamento!M:M)</f>
        <v>100.68</v>
      </c>
    </row>
    <row r="6" spans="1:13" ht="26.25" thickBot="1">
      <c r="A6" s="224" t="s">
        <v>279</v>
      </c>
      <c r="B6" s="49"/>
      <c r="C6" s="197" t="s">
        <v>110</v>
      </c>
      <c r="D6" s="238" t="str">
        <f t="shared" ref="D6:D50" si="0">J6&amp;"%"&amp;"
R$"&amp;ROUND(J6*$M6/100,2)</f>
        <v>25%
R$1575,78</v>
      </c>
      <c r="E6" s="240" t="str">
        <f t="shared" ref="E6:F13" si="1">K6&amp;"%"&amp;"
R$"&amp;ROUND(K6*$M6/100,2)</f>
        <v>50%
R$3151,56</v>
      </c>
      <c r="F6" s="240" t="str">
        <f t="shared" si="1"/>
        <v>25%
R$1575,78</v>
      </c>
      <c r="G6" s="245">
        <f t="shared" ref="G6:G50" si="2">M6</f>
        <v>6303.11</v>
      </c>
      <c r="I6" s="50"/>
      <c r="J6" s="232">
        <v>25</v>
      </c>
      <c r="K6" s="196">
        <v>50</v>
      </c>
      <c r="L6" s="196">
        <v>25</v>
      </c>
      <c r="M6" s="196">
        <f>SUMIF(Orçamento!P:P,'Cronograma físico financeiro'!A6,Orçamento!M:M)</f>
        <v>6303.11</v>
      </c>
    </row>
    <row r="7" spans="1:13" ht="26.25" thickBot="1">
      <c r="A7" s="224" t="s">
        <v>284</v>
      </c>
      <c r="B7" s="49"/>
      <c r="C7" s="197" t="s">
        <v>134</v>
      </c>
      <c r="D7" s="238" t="str">
        <f t="shared" si="0"/>
        <v>%
R$0</v>
      </c>
      <c r="E7" s="240" t="str">
        <f t="shared" si="1"/>
        <v>50%
R$3762,48</v>
      </c>
      <c r="F7" s="240" t="str">
        <f t="shared" si="1"/>
        <v>50%
R$3762,48</v>
      </c>
      <c r="G7" s="245">
        <f t="shared" si="2"/>
        <v>7524.9500000000007</v>
      </c>
      <c r="I7" s="50"/>
      <c r="J7" s="232"/>
      <c r="K7" s="196">
        <v>50</v>
      </c>
      <c r="L7" s="196">
        <v>50</v>
      </c>
      <c r="M7" s="196">
        <f>SUMIF(Orçamento!P:P,'Cronograma físico financeiro'!A7,Orçamento!M:M)</f>
        <v>7524.9500000000007</v>
      </c>
    </row>
    <row r="8" spans="1:13" ht="26.25" thickBot="1">
      <c r="A8" s="224" t="s">
        <v>291</v>
      </c>
      <c r="B8" s="49"/>
      <c r="C8" s="197" t="s">
        <v>162</v>
      </c>
      <c r="D8" s="238" t="str">
        <f t="shared" si="0"/>
        <v>10%
R$2,61</v>
      </c>
      <c r="E8" s="239" t="str">
        <f t="shared" si="1"/>
        <v>%
R$0</v>
      </c>
      <c r="F8" s="239" t="str">
        <f t="shared" si="1"/>
        <v>90%
R$23,45</v>
      </c>
      <c r="G8" s="245">
        <f t="shared" si="2"/>
        <v>26.049999999999997</v>
      </c>
      <c r="I8" s="50"/>
      <c r="J8" s="232">
        <v>10</v>
      </c>
      <c r="L8" s="196">
        <v>90</v>
      </c>
      <c r="M8" s="196">
        <f>SUMIF(Orçamento!P:P,'Cronograma físico financeiro'!A8,Orçamento!M:M)</f>
        <v>26.049999999999997</v>
      </c>
    </row>
    <row r="9" spans="1:13" ht="26.25" thickBot="1">
      <c r="A9" s="224" t="s">
        <v>294</v>
      </c>
      <c r="B9" s="49"/>
      <c r="C9" s="197" t="s">
        <v>169</v>
      </c>
      <c r="D9" s="241" t="str">
        <f t="shared" si="0"/>
        <v>%
R$0</v>
      </c>
      <c r="E9" s="239" t="str">
        <f t="shared" si="1"/>
        <v>100%
R$3860,05</v>
      </c>
      <c r="F9" s="239" t="str">
        <f t="shared" si="1"/>
        <v>%
R$0</v>
      </c>
      <c r="G9" s="245">
        <f t="shared" si="2"/>
        <v>3860.05</v>
      </c>
      <c r="I9" s="50"/>
      <c r="J9" s="232"/>
      <c r="K9" s="196">
        <v>100</v>
      </c>
      <c r="M9" s="196">
        <f>SUMIF(Orçamento!P:P,'Cronograma físico financeiro'!A9,Orçamento!M:M)</f>
        <v>3860.05</v>
      </c>
    </row>
    <row r="10" spans="1:13" ht="26.25" thickBot="1">
      <c r="A10" s="224" t="s">
        <v>297</v>
      </c>
      <c r="B10" s="49"/>
      <c r="C10" s="197" t="s">
        <v>175</v>
      </c>
      <c r="D10" s="241" t="str">
        <f t="shared" si="0"/>
        <v>%
R$0</v>
      </c>
      <c r="E10" s="239" t="str">
        <f t="shared" si="1"/>
        <v>100%
R$15227,45</v>
      </c>
      <c r="F10" s="239" t="str">
        <f t="shared" si="1"/>
        <v>%
R$0</v>
      </c>
      <c r="G10" s="245">
        <f t="shared" si="2"/>
        <v>15227.45</v>
      </c>
      <c r="I10" s="50"/>
      <c r="J10" s="232"/>
      <c r="K10" s="196">
        <v>100</v>
      </c>
      <c r="M10" s="196">
        <f>SUMIF(Orçamento!P:P,'Cronograma físico financeiro'!A10,Orçamento!M:M)</f>
        <v>15227.45</v>
      </c>
    </row>
    <row r="11" spans="1:13" ht="26.25" thickBot="1">
      <c r="A11" s="224" t="s">
        <v>299</v>
      </c>
      <c r="B11" s="49"/>
      <c r="C11" s="197" t="s">
        <v>180</v>
      </c>
      <c r="D11" s="241" t="str">
        <f t="shared" si="0"/>
        <v>%
R$0</v>
      </c>
      <c r="E11" s="239" t="str">
        <f t="shared" si="1"/>
        <v>100%
R$149,44</v>
      </c>
      <c r="F11" s="239" t="str">
        <f t="shared" si="1"/>
        <v>%
R$0</v>
      </c>
      <c r="G11" s="245">
        <f t="shared" si="2"/>
        <v>149.44</v>
      </c>
      <c r="I11" s="50"/>
      <c r="J11" s="232"/>
      <c r="K11" s="196">
        <v>100</v>
      </c>
      <c r="M11" s="196">
        <f>SUMIF(Orçamento!P:P,'Cronograma físico financeiro'!A11,Orçamento!M:M)</f>
        <v>149.44</v>
      </c>
    </row>
    <row r="12" spans="1:13" ht="26.25" thickBot="1">
      <c r="A12" s="224" t="s">
        <v>301</v>
      </c>
      <c r="B12" s="49"/>
      <c r="C12" s="197" t="s">
        <v>182</v>
      </c>
      <c r="D12" s="241" t="str">
        <f t="shared" si="0"/>
        <v>%
R$0</v>
      </c>
      <c r="E12" s="239" t="str">
        <f t="shared" si="1"/>
        <v>%
R$0</v>
      </c>
      <c r="F12" s="239" t="str">
        <f t="shared" si="1"/>
        <v>100%
R$250,13</v>
      </c>
      <c r="G12" s="245">
        <f t="shared" si="2"/>
        <v>250.13</v>
      </c>
      <c r="I12" s="50"/>
      <c r="J12" s="232"/>
      <c r="L12" s="196">
        <v>100</v>
      </c>
      <c r="M12" s="196">
        <f>SUMIF(Orçamento!P:P,'Cronograma físico financeiro'!A12,Orçamento!M:M)</f>
        <v>250.13</v>
      </c>
    </row>
    <row r="13" spans="1:13" ht="26.25" thickBot="1">
      <c r="A13" s="224" t="s">
        <v>303</v>
      </c>
      <c r="B13" s="49"/>
      <c r="C13" s="197" t="s">
        <v>185</v>
      </c>
      <c r="D13" s="241" t="str">
        <f t="shared" si="0"/>
        <v>%
R$0</v>
      </c>
      <c r="E13" s="239" t="str">
        <f t="shared" si="1"/>
        <v>%
R$0</v>
      </c>
      <c r="F13" s="239" t="str">
        <f t="shared" si="1"/>
        <v>100%
R$3149,19</v>
      </c>
      <c r="G13" s="245">
        <f t="shared" si="2"/>
        <v>3149.19</v>
      </c>
      <c r="I13" s="50"/>
      <c r="J13" s="232"/>
      <c r="L13" s="196">
        <v>100</v>
      </c>
      <c r="M13" s="196">
        <f>SUMIF(Orçamento!P:P,'Cronograma físico financeiro'!A13,Orçamento!M:M)</f>
        <v>3149.19</v>
      </c>
    </row>
    <row r="14" spans="1:13">
      <c r="A14" s="224"/>
      <c r="B14" s="49"/>
      <c r="C14" s="76"/>
      <c r="D14" s="233"/>
      <c r="E14" s="233"/>
      <c r="F14" s="233"/>
      <c r="G14" s="245"/>
      <c r="I14" s="97"/>
      <c r="J14" s="193"/>
      <c r="M14" s="196">
        <f>SUMIF(Orçamento!P:P,'Cronograma físico financeiro'!A14,Orçamento!M:M)</f>
        <v>0</v>
      </c>
    </row>
    <row r="15" spans="1:13" ht="13.5" thickBot="1">
      <c r="A15" s="226" t="s">
        <v>306</v>
      </c>
      <c r="B15" s="112" t="s">
        <v>204</v>
      </c>
      <c r="C15" s="96"/>
      <c r="D15" s="235"/>
      <c r="E15" s="236"/>
      <c r="F15" s="236"/>
      <c r="G15" s="244">
        <f>SUM(G16:G24)</f>
        <v>42984.95</v>
      </c>
      <c r="I15" s="50"/>
      <c r="J15" s="232"/>
      <c r="M15" s="196">
        <f>SUMIF(Orçamento!P:P,'Cronograma físico financeiro'!A15,Orçamento!M:M)</f>
        <v>0</v>
      </c>
    </row>
    <row r="16" spans="1:13" ht="26.25" thickBot="1">
      <c r="A16" s="224" t="s">
        <v>307</v>
      </c>
      <c r="B16" s="49"/>
      <c r="C16" s="76" t="s">
        <v>99</v>
      </c>
      <c r="D16" s="238" t="str">
        <f t="shared" si="0"/>
        <v>100%
R$321,23</v>
      </c>
      <c r="E16" s="240" t="str">
        <f t="shared" ref="E16:E24" si="3">K16&amp;"%"&amp;"
R$"&amp;ROUND(K16*$M16/100,2)</f>
        <v>%
R$0</v>
      </c>
      <c r="F16" s="240" t="str">
        <f t="shared" ref="F16:F24" si="4">L16&amp;"%"&amp;"
R$"&amp;ROUND(L16*$M16/100,2)</f>
        <v>%
R$0</v>
      </c>
      <c r="G16" s="245">
        <f t="shared" si="2"/>
        <v>321.23</v>
      </c>
      <c r="I16" s="50"/>
      <c r="J16" s="232">
        <v>100</v>
      </c>
      <c r="M16" s="196">
        <f>SUMIF(Orçamento!P:P,'Cronograma físico financeiro'!A16,Orçamento!M:M)</f>
        <v>321.23</v>
      </c>
    </row>
    <row r="17" spans="1:13" ht="26.25" thickBot="1">
      <c r="A17" s="224" t="s">
        <v>311</v>
      </c>
      <c r="B17" s="49"/>
      <c r="C17" s="197" t="s">
        <v>110</v>
      </c>
      <c r="D17" s="238" t="str">
        <f t="shared" si="0"/>
        <v>70%
R$3814,51</v>
      </c>
      <c r="E17" s="239" t="str">
        <f t="shared" si="3"/>
        <v>30%
R$1634,79</v>
      </c>
      <c r="F17" s="239" t="str">
        <f t="shared" si="4"/>
        <v>%
R$0</v>
      </c>
      <c r="G17" s="245">
        <f t="shared" si="2"/>
        <v>5449.2999999999993</v>
      </c>
      <c r="I17" s="50"/>
      <c r="J17" s="232">
        <v>70</v>
      </c>
      <c r="K17" s="196">
        <v>30</v>
      </c>
      <c r="M17" s="196">
        <f>SUMIF(Orçamento!P:P,'Cronograma físico financeiro'!A17,Orçamento!M:M)</f>
        <v>5449.2999999999993</v>
      </c>
    </row>
    <row r="18" spans="1:13" ht="26.25" thickBot="1">
      <c r="A18" s="224" t="s">
        <v>317</v>
      </c>
      <c r="B18" s="49"/>
      <c r="C18" s="197" t="s">
        <v>134</v>
      </c>
      <c r="D18" s="241" t="str">
        <f t="shared" si="0"/>
        <v>%
R$0</v>
      </c>
      <c r="E18" s="239" t="str">
        <f t="shared" si="3"/>
        <v>20%
R$1651,03</v>
      </c>
      <c r="F18" s="239" t="str">
        <f t="shared" si="4"/>
        <v>80%
R$6604,11</v>
      </c>
      <c r="G18" s="245">
        <f t="shared" si="2"/>
        <v>8255.14</v>
      </c>
      <c r="I18" s="50"/>
      <c r="J18" s="232"/>
      <c r="K18" s="196">
        <v>20</v>
      </c>
      <c r="L18" s="196">
        <v>80</v>
      </c>
      <c r="M18" s="196">
        <f>SUMIF(Orçamento!P:P,'Cronograma físico financeiro'!A18,Orçamento!M:M)</f>
        <v>8255.14</v>
      </c>
    </row>
    <row r="19" spans="1:13" ht="26.25" thickBot="1">
      <c r="A19" s="224" t="s">
        <v>324</v>
      </c>
      <c r="B19" s="49"/>
      <c r="C19" s="197" t="s">
        <v>162</v>
      </c>
      <c r="D19" s="241" t="str">
        <f t="shared" si="0"/>
        <v>%
R$0</v>
      </c>
      <c r="E19" s="239" t="str">
        <f t="shared" si="3"/>
        <v>30%
R$32,67</v>
      </c>
      <c r="F19" s="239" t="str">
        <f t="shared" si="4"/>
        <v>70%
R$76,24</v>
      </c>
      <c r="G19" s="245">
        <f t="shared" si="2"/>
        <v>108.91</v>
      </c>
      <c r="I19" s="50"/>
      <c r="J19" s="232"/>
      <c r="K19" s="196">
        <v>30</v>
      </c>
      <c r="L19" s="196">
        <v>70</v>
      </c>
      <c r="M19" s="196">
        <f>SUMIF(Orçamento!P:P,'Cronograma físico financeiro'!A19,Orçamento!M:M)</f>
        <v>108.91</v>
      </c>
    </row>
    <row r="20" spans="1:13" ht="26.25" thickBot="1">
      <c r="A20" s="224" t="s">
        <v>327</v>
      </c>
      <c r="B20" s="49"/>
      <c r="C20" s="197" t="s">
        <v>169</v>
      </c>
      <c r="D20" s="241" t="str">
        <f t="shared" si="0"/>
        <v>%
R$0</v>
      </c>
      <c r="E20" s="239" t="str">
        <f t="shared" si="3"/>
        <v>100%
R$6899,96</v>
      </c>
      <c r="F20" s="239" t="str">
        <f t="shared" si="4"/>
        <v>%
R$0</v>
      </c>
      <c r="G20" s="245">
        <f t="shared" si="2"/>
        <v>6899.9600000000009</v>
      </c>
      <c r="I20" s="50"/>
      <c r="J20" s="232"/>
      <c r="K20" s="196">
        <v>100</v>
      </c>
      <c r="M20" s="196">
        <f>SUMIF(Orçamento!P:P,'Cronograma físico financeiro'!A20,Orçamento!M:M)</f>
        <v>6899.9600000000009</v>
      </c>
    </row>
    <row r="21" spans="1:13" ht="26.25" thickBot="1">
      <c r="A21" s="224" t="s">
        <v>331</v>
      </c>
      <c r="B21" s="49"/>
      <c r="C21" s="197" t="s">
        <v>175</v>
      </c>
      <c r="D21" s="241" t="str">
        <f t="shared" si="0"/>
        <v>%
R$0</v>
      </c>
      <c r="E21" s="239" t="str">
        <f t="shared" si="3"/>
        <v>100%
R$10999,74</v>
      </c>
      <c r="F21" s="239" t="str">
        <f t="shared" si="4"/>
        <v>%
R$0</v>
      </c>
      <c r="G21" s="245">
        <f t="shared" si="2"/>
        <v>10999.74</v>
      </c>
      <c r="I21" s="50"/>
      <c r="J21" s="232"/>
      <c r="K21" s="196">
        <v>100</v>
      </c>
      <c r="M21" s="196">
        <f>SUMIF(Orçamento!P:P,'Cronograma físico financeiro'!A21,Orçamento!M:M)</f>
        <v>10999.74</v>
      </c>
    </row>
    <row r="22" spans="1:13" ht="26.25" thickBot="1">
      <c r="A22" s="224" t="s">
        <v>335</v>
      </c>
      <c r="B22" s="49"/>
      <c r="C22" s="197" t="s">
        <v>180</v>
      </c>
      <c r="D22" s="241" t="str">
        <f t="shared" si="0"/>
        <v>%
R$0</v>
      </c>
      <c r="E22" s="239" t="str">
        <f t="shared" si="3"/>
        <v>%
R$0</v>
      </c>
      <c r="F22" s="239" t="str">
        <f t="shared" si="4"/>
        <v>100%
R$273,98</v>
      </c>
      <c r="G22" s="245">
        <f t="shared" si="2"/>
        <v>273.98</v>
      </c>
      <c r="I22" s="50"/>
      <c r="J22" s="232"/>
      <c r="L22" s="196">
        <v>100</v>
      </c>
      <c r="M22" s="196">
        <f>SUMIF(Orçamento!P:P,'Cronograma físico financeiro'!A22,Orçamento!M:M)</f>
        <v>273.98</v>
      </c>
    </row>
    <row r="23" spans="1:13" ht="26.25" thickBot="1">
      <c r="A23" s="224" t="s">
        <v>337</v>
      </c>
      <c r="B23" s="49"/>
      <c r="C23" s="197" t="s">
        <v>182</v>
      </c>
      <c r="D23" s="241" t="str">
        <f t="shared" si="0"/>
        <v>%
R$0</v>
      </c>
      <c r="E23" s="239" t="str">
        <f t="shared" si="3"/>
        <v>%
R$0</v>
      </c>
      <c r="F23" s="239" t="str">
        <f t="shared" si="4"/>
        <v>100%
R$989,68</v>
      </c>
      <c r="G23" s="245">
        <f t="shared" si="2"/>
        <v>989.68</v>
      </c>
      <c r="I23" s="50"/>
      <c r="J23" s="232"/>
      <c r="L23" s="196">
        <v>100</v>
      </c>
      <c r="M23" s="196">
        <f>SUMIF(Orçamento!P:P,'Cronograma físico financeiro'!A23,Orçamento!M:M)</f>
        <v>989.68</v>
      </c>
    </row>
    <row r="24" spans="1:13" ht="26.25" thickBot="1">
      <c r="A24" s="224" t="s">
        <v>340</v>
      </c>
      <c r="B24" s="49"/>
      <c r="C24" s="197" t="s">
        <v>412</v>
      </c>
      <c r="D24" s="241" t="str">
        <f t="shared" si="0"/>
        <v>%
R$0</v>
      </c>
      <c r="E24" s="239" t="str">
        <f t="shared" si="3"/>
        <v>100%
R$9687,01</v>
      </c>
      <c r="F24" s="239" t="str">
        <f t="shared" si="4"/>
        <v>%
R$0</v>
      </c>
      <c r="G24" s="245">
        <f t="shared" si="2"/>
        <v>9687.01</v>
      </c>
      <c r="I24" s="50"/>
      <c r="J24" s="232"/>
      <c r="K24" s="196">
        <v>100</v>
      </c>
      <c r="M24" s="196">
        <f>SUMIF(Orçamento!P:P,'Cronograma físico financeiro'!A24,Orçamento!M:M)</f>
        <v>9687.01</v>
      </c>
    </row>
    <row r="25" spans="1:13">
      <c r="A25" s="224"/>
      <c r="B25" s="49"/>
      <c r="C25" s="197"/>
      <c r="D25"/>
      <c r="E25"/>
      <c r="F25" s="375"/>
      <c r="G25" s="196"/>
      <c r="I25" s="97"/>
      <c r="J25" s="193"/>
      <c r="M25" s="196">
        <f>SUMIF(Orçamento!P:P,'Cronograma físico financeiro'!A25,Orçamento!M:M)</f>
        <v>0</v>
      </c>
    </row>
    <row r="26" spans="1:13" ht="13.5" thickBot="1">
      <c r="A26" s="226" t="s">
        <v>344</v>
      </c>
      <c r="B26" s="112" t="s">
        <v>205</v>
      </c>
      <c r="C26" s="96"/>
      <c r="D26" s="235"/>
      <c r="E26" s="236"/>
      <c r="F26" s="236"/>
      <c r="G26" s="244">
        <f>SUM(G27:G33)</f>
        <v>15995.960000000001</v>
      </c>
      <c r="I26" s="50"/>
      <c r="J26" s="232"/>
      <c r="M26" s="196">
        <f>SUMIF(Orçamento!P:P,'Cronograma físico financeiro'!A26,Orçamento!M:M)</f>
        <v>0</v>
      </c>
    </row>
    <row r="27" spans="1:13" ht="26.25" thickBot="1">
      <c r="A27" s="224" t="s">
        <v>345</v>
      </c>
      <c r="B27" s="49"/>
      <c r="C27" s="197" t="s">
        <v>99</v>
      </c>
      <c r="D27" s="238" t="str">
        <f t="shared" si="0"/>
        <v>100%
R$143,22</v>
      </c>
      <c r="E27" s="240" t="str">
        <f t="shared" ref="E27:F33" si="5">K27&amp;"%"&amp;"
R$"&amp;ROUND(K27*$M27/100,2)</f>
        <v>%
R$0</v>
      </c>
      <c r="F27" s="240" t="str">
        <f t="shared" si="5"/>
        <v>%
R$0</v>
      </c>
      <c r="G27" s="245">
        <f t="shared" si="2"/>
        <v>143.22</v>
      </c>
      <c r="I27" s="50"/>
      <c r="J27" s="232">
        <v>100</v>
      </c>
      <c r="M27" s="196">
        <f>SUMIF(Orçamento!P:P,'Cronograma físico financeiro'!A27,Orçamento!M:M)</f>
        <v>143.22</v>
      </c>
    </row>
    <row r="28" spans="1:13" ht="26.25" thickBot="1">
      <c r="A28" s="224" t="s">
        <v>348</v>
      </c>
      <c r="B28" s="49"/>
      <c r="C28" s="197" t="s">
        <v>110</v>
      </c>
      <c r="D28" s="238" t="str">
        <f t="shared" si="0"/>
        <v>100%
R$4013,95</v>
      </c>
      <c r="E28" s="240" t="str">
        <f t="shared" si="5"/>
        <v>%
R$0</v>
      </c>
      <c r="F28" s="240" t="str">
        <f t="shared" si="5"/>
        <v>%
R$0</v>
      </c>
      <c r="G28" s="245">
        <f t="shared" si="2"/>
        <v>4013.9500000000003</v>
      </c>
      <c r="I28" s="50"/>
      <c r="J28" s="232">
        <v>100</v>
      </c>
      <c r="M28" s="196">
        <f>SUMIF(Orçamento!P:P,'Cronograma físico financeiro'!A28,Orçamento!M:M)</f>
        <v>4013.9500000000003</v>
      </c>
    </row>
    <row r="29" spans="1:13" ht="26.25" thickBot="1">
      <c r="A29" s="224" t="s">
        <v>353</v>
      </c>
      <c r="B29" s="49"/>
      <c r="C29" s="197" t="s">
        <v>134</v>
      </c>
      <c r="D29" s="238" t="str">
        <f t="shared" si="0"/>
        <v>50%
R$2080,55</v>
      </c>
      <c r="E29" s="239" t="str">
        <f t="shared" si="5"/>
        <v>50%
R$2080,55</v>
      </c>
      <c r="F29" s="239" t="str">
        <f t="shared" si="5"/>
        <v>%
R$0</v>
      </c>
      <c r="G29" s="245">
        <f t="shared" si="2"/>
        <v>4161.09</v>
      </c>
      <c r="I29" s="50"/>
      <c r="J29" s="232">
        <v>50</v>
      </c>
      <c r="K29" s="196">
        <v>50</v>
      </c>
      <c r="M29" s="196">
        <f>SUMIF(Orçamento!P:P,'Cronograma físico financeiro'!A29,Orçamento!M:M)</f>
        <v>4161.09</v>
      </c>
    </row>
    <row r="30" spans="1:13" ht="26.25" thickBot="1">
      <c r="A30" s="224" t="s">
        <v>357</v>
      </c>
      <c r="B30" s="49"/>
      <c r="C30" s="197" t="s">
        <v>162</v>
      </c>
      <c r="D30" s="241" t="str">
        <f t="shared" si="0"/>
        <v>%
R$0</v>
      </c>
      <c r="E30" s="239" t="str">
        <f t="shared" si="5"/>
        <v>100%
R$35,24</v>
      </c>
      <c r="F30" s="239" t="str">
        <f t="shared" si="5"/>
        <v>%
R$0</v>
      </c>
      <c r="G30" s="245">
        <f t="shared" si="2"/>
        <v>35.24</v>
      </c>
      <c r="I30" s="50"/>
      <c r="J30" s="232"/>
      <c r="K30" s="196">
        <v>100</v>
      </c>
      <c r="M30" s="196">
        <f>SUMIF(Orçamento!P:P,'Cronograma físico financeiro'!A30,Orçamento!M:M)</f>
        <v>35.24</v>
      </c>
    </row>
    <row r="31" spans="1:13" ht="26.25" thickBot="1">
      <c r="A31" s="224" t="s">
        <v>360</v>
      </c>
      <c r="B31" s="49"/>
      <c r="C31" s="197" t="s">
        <v>175</v>
      </c>
      <c r="D31" s="241" t="str">
        <f t="shared" si="0"/>
        <v>%
R$0</v>
      </c>
      <c r="E31" s="239" t="str">
        <f t="shared" si="5"/>
        <v>100%
R$4248,94</v>
      </c>
      <c r="F31" s="239" t="str">
        <f t="shared" si="5"/>
        <v>%
R$0</v>
      </c>
      <c r="G31" s="245">
        <f t="shared" si="2"/>
        <v>4248.9400000000005</v>
      </c>
      <c r="I31" s="50"/>
      <c r="J31" s="232"/>
      <c r="K31" s="196">
        <v>100</v>
      </c>
      <c r="M31" s="196">
        <f>SUMIF(Orçamento!P:P,'Cronograma físico financeiro'!A31,Orçamento!M:M)</f>
        <v>4248.9400000000005</v>
      </c>
    </row>
    <row r="32" spans="1:13" ht="26.25" thickBot="1">
      <c r="A32" s="224" t="s">
        <v>362</v>
      </c>
      <c r="B32" s="49"/>
      <c r="C32" s="197" t="s">
        <v>180</v>
      </c>
      <c r="D32" s="241" t="str">
        <f t="shared" si="0"/>
        <v>%
R$0</v>
      </c>
      <c r="E32" s="239" t="str">
        <f t="shared" si="5"/>
        <v>100%
R$132,84</v>
      </c>
      <c r="F32" s="239" t="str">
        <f t="shared" si="5"/>
        <v>%
R$0</v>
      </c>
      <c r="G32" s="245">
        <f t="shared" si="2"/>
        <v>132.84</v>
      </c>
      <c r="I32" s="50"/>
      <c r="J32" s="232"/>
      <c r="K32" s="196">
        <v>100</v>
      </c>
      <c r="M32" s="196">
        <f>SUMIF(Orçamento!P:P,'Cronograma físico financeiro'!A32,Orçamento!M:M)</f>
        <v>132.84</v>
      </c>
    </row>
    <row r="33" spans="1:13" ht="26.25" thickBot="1">
      <c r="A33" s="224" t="s">
        <v>364</v>
      </c>
      <c r="B33" s="49"/>
      <c r="C33" s="197" t="s">
        <v>412</v>
      </c>
      <c r="D33" s="241" t="str">
        <f t="shared" si="0"/>
        <v>%
R$0</v>
      </c>
      <c r="E33" s="239" t="str">
        <f t="shared" si="5"/>
        <v>100%
R$3260,68</v>
      </c>
      <c r="F33" s="239" t="str">
        <f t="shared" si="5"/>
        <v>%
R$0</v>
      </c>
      <c r="G33" s="245">
        <f t="shared" si="2"/>
        <v>3260.6800000000003</v>
      </c>
      <c r="I33" s="50"/>
      <c r="J33" s="232"/>
      <c r="K33" s="196">
        <v>100</v>
      </c>
      <c r="M33" s="196">
        <f>SUMIF(Orçamento!P:P,'Cronograma físico financeiro'!A33,Orçamento!M:M)</f>
        <v>3260.6800000000003</v>
      </c>
    </row>
    <row r="34" spans="1:13">
      <c r="A34" s="224"/>
      <c r="B34" s="49"/>
      <c r="C34" s="76"/>
      <c r="D34" s="233"/>
      <c r="E34" s="233"/>
      <c r="F34" s="233"/>
      <c r="G34" s="245"/>
      <c r="I34" s="97"/>
      <c r="J34" s="193"/>
      <c r="M34" s="196">
        <f>SUMIF(Orçamento!P:P,'Cronograma físico financeiro'!A34,Orçamento!M:M)</f>
        <v>0</v>
      </c>
    </row>
    <row r="35" spans="1:13" ht="13.5" thickBot="1">
      <c r="A35" s="226" t="s">
        <v>367</v>
      </c>
      <c r="B35" s="112" t="s">
        <v>237</v>
      </c>
      <c r="C35" s="96"/>
      <c r="D35" s="235"/>
      <c r="E35" s="236"/>
      <c r="F35" s="236"/>
      <c r="G35" s="244">
        <f>SUM(G36:G39)</f>
        <v>1567.93</v>
      </c>
      <c r="I35" s="50"/>
      <c r="J35" s="232"/>
      <c r="M35" s="196">
        <f>SUMIF(Orçamento!P:P,'Cronograma físico financeiro'!A35,Orçamento!M:M)</f>
        <v>0</v>
      </c>
    </row>
    <row r="36" spans="1:13" ht="26.25" thickBot="1">
      <c r="A36" s="224" t="s">
        <v>368</v>
      </c>
      <c r="B36" s="49"/>
      <c r="C36" s="207" t="s">
        <v>99</v>
      </c>
      <c r="D36" s="238" t="str">
        <f t="shared" si="0"/>
        <v>100%
R$23,3</v>
      </c>
      <c r="E36" s="240" t="str">
        <f t="shared" ref="E36:F39" si="6">K36&amp;"%"&amp;"
R$"&amp;ROUND(K36*$M36/100,2)</f>
        <v>%
R$0</v>
      </c>
      <c r="F36" s="240" t="str">
        <f t="shared" si="6"/>
        <v>%
R$0</v>
      </c>
      <c r="G36" s="245">
        <f t="shared" si="2"/>
        <v>23.3</v>
      </c>
      <c r="I36" s="50"/>
      <c r="J36" s="232">
        <v>100</v>
      </c>
      <c r="M36" s="196">
        <f>SUMIF(Orçamento!P:P,'Cronograma físico financeiro'!A36,Orçamento!M:M)</f>
        <v>23.3</v>
      </c>
    </row>
    <row r="37" spans="1:13" ht="26.25" thickBot="1">
      <c r="A37" s="224" t="s">
        <v>371</v>
      </c>
      <c r="B37" s="49"/>
      <c r="C37" s="207" t="s">
        <v>110</v>
      </c>
      <c r="D37" s="238" t="str">
        <f t="shared" si="0"/>
        <v>100%
R$1003,76</v>
      </c>
      <c r="E37" s="240" t="str">
        <f t="shared" si="6"/>
        <v>%
R$0</v>
      </c>
      <c r="F37" s="240" t="str">
        <f t="shared" si="6"/>
        <v>%
R$0</v>
      </c>
      <c r="G37" s="245">
        <f t="shared" si="2"/>
        <v>1003.76</v>
      </c>
      <c r="I37" s="50"/>
      <c r="J37" s="232">
        <v>100</v>
      </c>
      <c r="M37" s="196">
        <f>SUMIF(Orçamento!P:P,'Cronograma físico financeiro'!A37,Orçamento!M:M)</f>
        <v>1003.76</v>
      </c>
    </row>
    <row r="38" spans="1:13" ht="26.25" thickBot="1">
      <c r="A38" s="224" t="s">
        <v>374</v>
      </c>
      <c r="B38" s="49"/>
      <c r="C38" s="76" t="s">
        <v>134</v>
      </c>
      <c r="D38" s="238" t="str">
        <f t="shared" si="0"/>
        <v>100%
R$528,38</v>
      </c>
      <c r="E38" s="240" t="str">
        <f t="shared" si="6"/>
        <v>%
R$0</v>
      </c>
      <c r="F38" s="240" t="str">
        <f t="shared" si="6"/>
        <v>%
R$0</v>
      </c>
      <c r="G38" s="245">
        <f t="shared" si="2"/>
        <v>528.38</v>
      </c>
      <c r="I38" s="50"/>
      <c r="J38" s="232">
        <v>100</v>
      </c>
      <c r="M38" s="196">
        <f>SUMIF(Orçamento!P:P,'Cronograma físico financeiro'!A38,Orçamento!M:M)</f>
        <v>528.38</v>
      </c>
    </row>
    <row r="39" spans="1:13" ht="26.25" thickBot="1">
      <c r="A39" s="224" t="s">
        <v>376</v>
      </c>
      <c r="B39" s="49"/>
      <c r="C39" s="207" t="s">
        <v>162</v>
      </c>
      <c r="D39" s="238" t="str">
        <f t="shared" si="0"/>
        <v>100%
R$12,49</v>
      </c>
      <c r="E39" s="240" t="str">
        <f t="shared" si="6"/>
        <v>%
R$0</v>
      </c>
      <c r="F39" s="240" t="str">
        <f t="shared" si="6"/>
        <v>%
R$0</v>
      </c>
      <c r="G39" s="245">
        <f t="shared" si="2"/>
        <v>12.490000000000002</v>
      </c>
      <c r="I39" s="50"/>
      <c r="J39" s="232">
        <v>100</v>
      </c>
      <c r="M39" s="196">
        <f>SUMIF(Orçamento!P:P,'Cronograma físico financeiro'!A39,Orçamento!M:M)</f>
        <v>12.490000000000002</v>
      </c>
    </row>
    <row r="40" spans="1:13">
      <c r="A40" s="224"/>
      <c r="B40" s="49"/>
      <c r="C40" s="76"/>
      <c r="D40" s="233"/>
      <c r="E40" s="233"/>
      <c r="F40" s="233"/>
      <c r="G40" s="245"/>
      <c r="I40" s="97"/>
      <c r="J40" s="193"/>
      <c r="M40" s="196">
        <f>SUMIF(Orçamento!P:P,'Cronograma físico financeiro'!A40,Orçamento!M:M)</f>
        <v>0</v>
      </c>
    </row>
    <row r="41" spans="1:13" ht="13.5" thickBot="1">
      <c r="A41" s="226" t="s">
        <v>379</v>
      </c>
      <c r="B41" s="112" t="s">
        <v>206</v>
      </c>
      <c r="C41" s="96"/>
      <c r="D41" s="235"/>
      <c r="E41" s="236"/>
      <c r="F41" s="236"/>
      <c r="G41" s="244">
        <f>SUM(G42:G47)</f>
        <v>10472</v>
      </c>
      <c r="I41" s="50"/>
      <c r="J41" s="232"/>
      <c r="M41" s="196">
        <f>SUMIF(Orçamento!P:P,'Cronograma físico financeiro'!A41,Orçamento!M:M)</f>
        <v>0</v>
      </c>
    </row>
    <row r="42" spans="1:13" ht="26.25" thickBot="1">
      <c r="A42" s="224" t="s">
        <v>380</v>
      </c>
      <c r="B42" s="49"/>
      <c r="C42" s="197" t="s">
        <v>99</v>
      </c>
      <c r="D42" s="238" t="str">
        <f t="shared" si="0"/>
        <v>100%
R$15,31</v>
      </c>
      <c r="E42" s="240" t="str">
        <f t="shared" ref="E42:F47" si="7">K42&amp;"%"&amp;"
R$"&amp;ROUND(K42*$M42/100,2)</f>
        <v>%
R$0</v>
      </c>
      <c r="F42" s="240" t="str">
        <f t="shared" si="7"/>
        <v>%
R$0</v>
      </c>
      <c r="G42" s="245">
        <f t="shared" si="2"/>
        <v>15.309999999999999</v>
      </c>
      <c r="I42" s="50"/>
      <c r="J42" s="232">
        <v>100</v>
      </c>
      <c r="M42" s="196">
        <f>SUMIF(Orçamento!P:P,'Cronograma físico financeiro'!A42,Orçamento!M:M)</f>
        <v>15.309999999999999</v>
      </c>
    </row>
    <row r="43" spans="1:13" ht="26.25" thickBot="1">
      <c r="A43" s="224" t="s">
        <v>382</v>
      </c>
      <c r="B43" s="49"/>
      <c r="C43" s="197" t="s">
        <v>110</v>
      </c>
      <c r="D43" s="238" t="str">
        <f t="shared" si="0"/>
        <v>90%
R$3062,82</v>
      </c>
      <c r="E43" s="239" t="str">
        <f t="shared" si="7"/>
        <v>10%
R$340,31</v>
      </c>
      <c r="F43" s="239" t="str">
        <f t="shared" si="7"/>
        <v>%
R$0</v>
      </c>
      <c r="G43" s="245">
        <f t="shared" si="2"/>
        <v>3403.13</v>
      </c>
      <c r="I43" s="50"/>
      <c r="J43" s="232">
        <v>90</v>
      </c>
      <c r="K43" s="196">
        <v>10</v>
      </c>
      <c r="M43" s="196">
        <f>SUMIF(Orçamento!P:P,'Cronograma físico financeiro'!A43,Orçamento!M:M)</f>
        <v>3403.13</v>
      </c>
    </row>
    <row r="44" spans="1:13" ht="26.25" thickBot="1">
      <c r="A44" s="224" t="s">
        <v>386</v>
      </c>
      <c r="B44" s="49"/>
      <c r="C44" s="197" t="s">
        <v>134</v>
      </c>
      <c r="D44" s="241" t="str">
        <f t="shared" si="0"/>
        <v>%
R$0</v>
      </c>
      <c r="E44" s="239" t="str">
        <f t="shared" si="7"/>
        <v>100%
R$3517,08</v>
      </c>
      <c r="F44" s="239" t="str">
        <f t="shared" si="7"/>
        <v>%
R$0</v>
      </c>
      <c r="G44" s="245">
        <f t="shared" si="2"/>
        <v>3517.08</v>
      </c>
      <c r="I44" s="50"/>
      <c r="J44" s="232"/>
      <c r="K44" s="196">
        <v>100</v>
      </c>
      <c r="M44" s="196">
        <f>SUMIF(Orçamento!P:P,'Cronograma físico financeiro'!A44,Orçamento!M:M)</f>
        <v>3517.08</v>
      </c>
    </row>
    <row r="45" spans="1:13" ht="26.25" thickBot="1">
      <c r="A45" s="224" t="s">
        <v>390</v>
      </c>
      <c r="B45" s="49"/>
      <c r="C45" s="197" t="s">
        <v>162</v>
      </c>
      <c r="D45" s="241" t="str">
        <f t="shared" si="0"/>
        <v>%
R$0</v>
      </c>
      <c r="E45" s="239" t="str">
        <f t="shared" si="7"/>
        <v>100%
R$28</v>
      </c>
      <c r="F45" s="239" t="str">
        <f t="shared" si="7"/>
        <v>%
R$0</v>
      </c>
      <c r="G45" s="245">
        <f t="shared" si="2"/>
        <v>28</v>
      </c>
      <c r="I45" s="50"/>
      <c r="J45" s="232"/>
      <c r="K45" s="196">
        <v>100</v>
      </c>
      <c r="M45" s="196">
        <f>SUMIF(Orçamento!P:P,'Cronograma físico financeiro'!A45,Orçamento!M:M)</f>
        <v>28</v>
      </c>
    </row>
    <row r="46" spans="1:13" ht="26.25" thickBot="1">
      <c r="A46" s="224" t="s">
        <v>393</v>
      </c>
      <c r="B46" s="49"/>
      <c r="C46" s="197" t="s">
        <v>175</v>
      </c>
      <c r="D46" s="241" t="str">
        <f t="shared" si="0"/>
        <v>%
R$0</v>
      </c>
      <c r="E46" s="239" t="str">
        <f t="shared" si="7"/>
        <v>100%
R$3420,39</v>
      </c>
      <c r="F46" s="239" t="str">
        <f t="shared" si="7"/>
        <v>%
R$0</v>
      </c>
      <c r="G46" s="245">
        <f t="shared" si="2"/>
        <v>3420.39</v>
      </c>
      <c r="I46" s="50"/>
      <c r="J46" s="232"/>
      <c r="K46" s="196">
        <v>100</v>
      </c>
      <c r="M46" s="196">
        <f>SUMIF(Orçamento!P:P,'Cronograma físico financeiro'!A46,Orçamento!M:M)</f>
        <v>3420.39</v>
      </c>
    </row>
    <row r="47" spans="1:13" ht="26.25" thickBot="1">
      <c r="A47" s="224" t="s">
        <v>395</v>
      </c>
      <c r="B47" s="49"/>
      <c r="C47" s="197" t="s">
        <v>182</v>
      </c>
      <c r="D47" s="241" t="str">
        <f t="shared" si="0"/>
        <v>%
R$0</v>
      </c>
      <c r="E47" s="239" t="str">
        <f t="shared" si="7"/>
        <v>100%
R$88,09</v>
      </c>
      <c r="F47" s="239" t="str">
        <f t="shared" si="7"/>
        <v>%
R$0</v>
      </c>
      <c r="G47" s="245">
        <f t="shared" si="2"/>
        <v>88.09</v>
      </c>
      <c r="I47" s="50"/>
      <c r="J47" s="232"/>
      <c r="K47" s="196">
        <v>100</v>
      </c>
      <c r="M47" s="196">
        <f>SUMIF(Orçamento!P:P,'Cronograma físico financeiro'!A47,Orçamento!M:M)</f>
        <v>88.09</v>
      </c>
    </row>
    <row r="48" spans="1:13">
      <c r="A48" s="224"/>
      <c r="B48" s="49"/>
      <c r="C48" s="76"/>
      <c r="D48" s="233"/>
      <c r="E48" s="237"/>
      <c r="F48" s="237"/>
      <c r="G48" s="246"/>
      <c r="M48" s="196">
        <f>SUMIF(Orçamento!P:P,'Cronograma físico financeiro'!A48,Orçamento!M:M)</f>
        <v>0</v>
      </c>
    </row>
    <row r="49" spans="1:13" hidden="1">
      <c r="A49" s="226" t="s">
        <v>397</v>
      </c>
      <c r="B49" s="112" t="s">
        <v>401</v>
      </c>
      <c r="C49" s="96"/>
      <c r="D49" s="235"/>
      <c r="E49" s="236"/>
      <c r="F49" s="236"/>
      <c r="G49" s="244"/>
      <c r="K49" s="196">
        <v>100</v>
      </c>
      <c r="M49" s="196">
        <f>SUMIF(Orçamento!P:P,'Cronograma físico financeiro'!A49,Orçamento!M:M)</f>
        <v>0</v>
      </c>
    </row>
    <row r="50" spans="1:13" ht="26.25" hidden="1" thickBot="1">
      <c r="D50" s="241" t="str">
        <f t="shared" si="0"/>
        <v>%
R$0</v>
      </c>
      <c r="E50" s="239" t="str">
        <f>K50&amp;"%"&amp;"
R$"&amp;ROUND(K50*$M50/100,2)</f>
        <v>100%
R$0</v>
      </c>
      <c r="F50" s="382"/>
      <c r="G50" s="247">
        <f t="shared" si="2"/>
        <v>0</v>
      </c>
      <c r="K50" s="196">
        <v>100</v>
      </c>
      <c r="M50" s="196">
        <f>M49</f>
        <v>0</v>
      </c>
    </row>
    <row r="51" spans="1:13">
      <c r="M51" s="196">
        <f>SUMIF(Orçamento!P:P,'Cronograma físico financeiro'!A51,Orçamento!M:M)</f>
        <v>0</v>
      </c>
    </row>
    <row r="52" spans="1:13">
      <c r="M52" s="196">
        <f>SUMIF(Orçamento!P:P,'Cronograma físico financeiro'!A52,Orçamento!M:M)</f>
        <v>0</v>
      </c>
    </row>
    <row r="53" spans="1:13">
      <c r="M53" s="196">
        <f>SUMIF(Orçamento!P:P,'Cronograma físico financeiro'!A53,Orçamento!M:M)</f>
        <v>0</v>
      </c>
    </row>
    <row r="54" spans="1:13">
      <c r="M54" s="196">
        <f>SUMIF(Orçamento!P:P,'Cronograma físico financeiro'!A54,Orçamento!M:M)</f>
        <v>0</v>
      </c>
    </row>
    <row r="55" spans="1:13">
      <c r="M55" s="196">
        <f>SUMIF(Orçamento!P:P,'Cronograma físico financeiro'!A55,Orçamento!M:M)</f>
        <v>0</v>
      </c>
    </row>
    <row r="56" spans="1:13">
      <c r="M56" s="196">
        <f>SUMIF(Orçamento!P:P,'Cronograma físico financeiro'!A56,Orçamento!M:M)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38"/>
  <sheetViews>
    <sheetView topLeftCell="A4" workbookViewId="0">
      <selection activeCell="F26" sqref="F26:F30"/>
    </sheetView>
  </sheetViews>
  <sheetFormatPr defaultRowHeight="12.75"/>
  <cols>
    <col min="5" max="5" width="12.28515625" customWidth="1"/>
    <col min="6" max="6" width="47.28515625" customWidth="1"/>
  </cols>
  <sheetData>
    <row r="1" spans="6:12">
      <c r="L1" s="80"/>
    </row>
    <row r="2" spans="6:12">
      <c r="F2" s="372"/>
    </row>
    <row r="3" spans="6:12">
      <c r="F3" s="372"/>
    </row>
    <row r="4" spans="6:12">
      <c r="F4" s="372"/>
    </row>
    <row r="5" spans="6:12">
      <c r="F5" s="372"/>
    </row>
    <row r="6" spans="6:12">
      <c r="F6" s="372"/>
    </row>
    <row r="7" spans="6:12">
      <c r="F7" s="372"/>
    </row>
    <row r="8" spans="6:12">
      <c r="F8" s="372"/>
    </row>
    <row r="9" spans="6:12">
      <c r="F9" s="372"/>
      <c r="L9" s="374"/>
    </row>
    <row r="10" spans="6:12">
      <c r="F10" s="372"/>
      <c r="L10" s="80"/>
    </row>
    <row r="11" spans="6:12">
      <c r="F11" s="372"/>
    </row>
    <row r="12" spans="6:12">
      <c r="F12" s="372"/>
    </row>
    <row r="13" spans="6:12">
      <c r="F13" s="372"/>
    </row>
    <row r="14" spans="6:12">
      <c r="F14" s="372"/>
    </row>
    <row r="15" spans="6:12">
      <c r="F15" s="372"/>
    </row>
    <row r="16" spans="6:12">
      <c r="F16" s="372"/>
    </row>
    <row r="17" spans="5:6">
      <c r="F17" s="372"/>
    </row>
    <row r="18" spans="5:6">
      <c r="F18" s="372"/>
    </row>
    <row r="19" spans="5:6">
      <c r="F19" s="372"/>
    </row>
    <row r="20" spans="5:6">
      <c r="F20" s="372"/>
    </row>
    <row r="21" spans="5:6">
      <c r="E21" t="s">
        <v>127</v>
      </c>
      <c r="F21" s="372" t="str">
        <f>VLOOKUP(E21,'Fonte Cotação'!B:C,2,0)</f>
        <v>Alcapao Em Ferro 60X60Cm, Incluso Ferragens</v>
      </c>
    </row>
    <row r="22" spans="5:6">
      <c r="F22" s="372"/>
    </row>
    <row r="23" spans="5:6">
      <c r="F23" s="372"/>
    </row>
    <row r="24" spans="5:6">
      <c r="F24" s="372"/>
    </row>
    <row r="25" spans="5:6">
      <c r="E25" t="s">
        <v>215</v>
      </c>
      <c r="F25" s="372" t="str">
        <f>VLOOKUP(E25,'Fonte Cotação'!B:C,2,0)</f>
        <v>Aplicação de película tipo espelho unidirecional</v>
      </c>
    </row>
    <row r="26" spans="5:6">
      <c r="E26" t="s">
        <v>216</v>
      </c>
      <c r="F26" s="372" t="str">
        <f>VLOOKUP(E26,'Fonte Cotação'!B:C,2,0)</f>
        <v>PM - 1 - 0,80x2,10m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</row>
    <row r="27" spans="5:6">
      <c r="E27" t="s">
        <v>217</v>
      </c>
      <c r="F27" s="372" t="str">
        <f>VLOOKUP(E27,'Fonte Cotação'!B:C,2,0)</f>
        <v>PM - 1' - 0,82x2,10m - Porta semi-oca,  com visor em vidro incolor 4mm dim 50x80cm,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</row>
    <row r="28" spans="5:6">
      <c r="E28" t="s">
        <v>218</v>
      </c>
      <c r="F28" s="372" t="str">
        <f>VLOOKUP(E28,'Fonte Cotação'!B:C,2,0)</f>
        <v>PM - 2 - 1,02x2,10m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</row>
    <row r="29" spans="5:6">
      <c r="E29" t="s">
        <v>219</v>
      </c>
      <c r="F29" s="372" t="str">
        <f>VLOOKUP(E29,'Fonte Cotação'!B:C,2,0)</f>
        <v>PM - 3 - 1,07x2,10m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</row>
    <row r="30" spans="5:6">
      <c r="E30" t="s">
        <v>220</v>
      </c>
      <c r="F30" s="372" t="str">
        <f>VLOOKUP(E30,'Fonte Cotação'!B:C,2,0)</f>
        <v>PM - 1'' - 1,22x2,10m - Porta semi-oca, emcabeçada, revestida em Ambos Os Lados Com Laminado Fita De Borda Em Pvc Nos 4 Topos Da Porta, Na Mesma Cor Do Laminado; Alavanca Com Acabamento Cromado- Marco Em Cedrinho, Cerne Ou Lenheiro, Seco, Rebaixado, Com Moldura Interna E Emassamento+Fundo Com Tinta Esmalte</v>
      </c>
    </row>
    <row r="31" spans="5:6">
      <c r="E31" t="s">
        <v>221</v>
      </c>
      <c r="F31" s="372" t="str">
        <f>VLOOKUP(E31,'Fonte Cotação'!B:C,2,0)</f>
        <v>Acabamento com piso vinílico em placas 50x50cm. Ref: Forbo Alura Flex, Grigrio Concrete 1633 ou similar</v>
      </c>
    </row>
    <row r="32" spans="5:6">
      <c r="E32" t="s">
        <v>222</v>
      </c>
      <c r="F32" s="372" t="str">
        <f>VLOOKUP(E32,'Fonte Cotação'!B:C,2,0)</f>
        <v>Rodapé em WPC, cor branca, h=7cm e=1,5cm. Ref: Ecovale ou similar</v>
      </c>
    </row>
    <row r="33" spans="5:6">
      <c r="E33" t="s">
        <v>223</v>
      </c>
      <c r="F33" s="372" t="str">
        <f>VLOOKUP(E33,'Fonte Cotação'!B:C,2,0)</f>
        <v>Lavatório de louça, na cor gelo, dim 44,5x35,5x15cm, sem coluna, ref: DECA Aspem - Cod L.510.17 ou equivalente</v>
      </c>
    </row>
    <row r="34" spans="5:6">
      <c r="E34" t="s">
        <v>224</v>
      </c>
      <c r="F34" s="372" t="str">
        <f>VLOOKUP(E34,'Fonte Cotação'!B:C,2,0)</f>
        <v>Torneira Automática para Pia de Banheiro Bica Baixa Cromada Ref: Decamatic Eco Deca</v>
      </c>
    </row>
    <row r="35" spans="5:6">
      <c r="E35" t="s">
        <v>225</v>
      </c>
      <c r="F35" s="372" t="str">
        <f>VLOOKUP(E35,'Fonte Cotação'!B:C,2,0)</f>
        <v>TI-01 - Tampo em Inox com Pia e expurgo 1,50x0,60m: aço AISI304, liga 18.8, chapa e&gt;1mm, acabamento polido, com reforço, com rebaixo na área molhada. Cuba inox AISI304 50x40x21, ref: Tramontina Prime Maxi cuba 50 Plus BS. Cuba de Expurgo redonda Ø34, em Inox AISI304 e&gt;1mm, monobloco, lisa, acabamento polido, borda lisa, espera para entrada de água saída de esgoto. Conforme projeto</v>
      </c>
    </row>
    <row r="36" spans="5:6">
      <c r="E36" t="s">
        <v>226</v>
      </c>
      <c r="F36" s="372" t="str">
        <f>VLOOKUP(E36,'Fonte Cotação'!B:C,2,0)</f>
        <v>LC-01 - Lavabo Cirúrgico Suspenso 1,80x0,50m, em Inox AISI304, liga 18.8, chapa e&gt;1mm, espelho 11cm, saia de 4cm, cantos arredondados e soldas ocultas. Conforme projeto.</v>
      </c>
    </row>
    <row r="37" spans="5:6">
      <c r="E37" t="s">
        <v>229</v>
      </c>
      <c r="F37" s="372" t="str">
        <f>VLOOKUP(E37,'Fonte Cotação'!B:C,2,0)</f>
        <v>TI-01 - Tampo em Inox com Pia 1,60x0,60m, Espelho 14cm e saia 10cm: aço AISI304, liga 18.8, chapa e&gt;1mm, acabamento polido, com reforço, com rebaixo na área molhada. Cuba inox AISI304 40x34x21, ref: Tramontina Prime Retangula BL ou similar. Conforme projeto</v>
      </c>
    </row>
    <row r="38" spans="5:6">
      <c r="E38" t="s">
        <v>181</v>
      </c>
      <c r="F38" s="372" t="str">
        <f>VLOOKUP(E38,'Fonte Cotação'!B:C,2,0)</f>
        <v>Revestimento Cerâmico Para Piso Com Placas Tipo Porcelanato De Dimensões 60X60 Cm Aplicada Em Ambientes De Área Menor Que 5 M². Retificado Esmaltado Acetinado Com Rejunte Cinza. Referência Portinari Loft A</v>
      </c>
    </row>
  </sheetData>
  <sortState ref="E1:E87">
    <sortCondition ref="E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BDI e Encargos</vt:lpstr>
      <vt:lpstr>Orçamento</vt:lpstr>
      <vt:lpstr>LEVANTAMENTO</vt:lpstr>
      <vt:lpstr>Fonte Cotação</vt:lpstr>
      <vt:lpstr>Composições elétrica</vt:lpstr>
      <vt:lpstr>Composições civil</vt:lpstr>
      <vt:lpstr>Cronograma físico financeiro</vt:lpstr>
      <vt:lpstr>Plan1</vt:lpstr>
      <vt:lpstr>'Cronograma físico financeiro'!Area_de_impressao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Herencio Teixeira</dc:creator>
  <cp:lastModifiedBy>Jeferson Luis Andreoli Dos Santos</cp:lastModifiedBy>
  <cp:lastPrinted>2021-09-14T20:42:34Z</cp:lastPrinted>
  <dcterms:created xsi:type="dcterms:W3CDTF">2019-03-08T16:56:24Z</dcterms:created>
  <dcterms:modified xsi:type="dcterms:W3CDTF">2021-10-06T17:58:19Z</dcterms:modified>
</cp:coreProperties>
</file>