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03_Seção_Controle_de_Obras\07_Orçamentação\07_2021_Concluídos_(enviados_licitação)\07_222_CPE\"/>
    </mc:Choice>
  </mc:AlternateContent>
  <bookViews>
    <workbookView xWindow="0" yWindow="0" windowWidth="15360" windowHeight="7380" tabRatio="863" firstSheet="1" activeTab="1"/>
  </bookViews>
  <sheets>
    <sheet name="Dados Gerais" sheetId="6" r:id="rId1"/>
    <sheet name="Resumo" sheetId="7" r:id="rId2"/>
    <sheet name="BDI" sheetId="9" r:id="rId3"/>
    <sheet name="ENCARGOS" sheetId="10" r:id="rId4"/>
    <sheet name="PO_IND" sheetId="1" r:id="rId5"/>
    <sheet name="PO_CPE" sheetId="8" r:id="rId6"/>
    <sheet name="Comp" sheetId="2" r:id="rId7"/>
    <sheet name="Insumos_MAT" sheetId="3" r:id="rId8"/>
    <sheet name="Insumos_MO" sheetId="5" r:id="rId9"/>
    <sheet name="ABC" sheetId="12" r:id="rId10"/>
  </sheets>
  <definedNames>
    <definedName name="_1Excel_BuiltIn_Print_Area_2_1" localSheetId="9">#REF!</definedName>
    <definedName name="_1Excel_BuiltIn_Print_Area_2_1" localSheetId="2">#REF!</definedName>
    <definedName name="_1Excel_BuiltIn_Print_Area_2_1" localSheetId="3">#REF!</definedName>
    <definedName name="_1Excel_BuiltIn_Print_Area_2_1">#REF!</definedName>
    <definedName name="_2Excel_BuiltIn_Print_Area_2_1" localSheetId="3">#REF!</definedName>
    <definedName name="_4Excel_BuiltIn_Print_Area_2_1" localSheetId="9">#REF!</definedName>
    <definedName name="_4Excel_BuiltIn_Print_Area_2_1">#REF!</definedName>
    <definedName name="_xlnm._FilterDatabase" localSheetId="9" hidden="1">ABC!$A$9:$P$218</definedName>
    <definedName name="_xlnm._FilterDatabase" localSheetId="2" hidden="1">#REF!</definedName>
    <definedName name="_xlnm._FilterDatabase" localSheetId="6" hidden="1">Comp!$A$7:$M$522</definedName>
    <definedName name="_xlnm._FilterDatabase" localSheetId="3" hidden="1">#REF!</definedName>
    <definedName name="_xlnm._FilterDatabase" localSheetId="7" hidden="1">Insumos_MAT!$A$7:$I$155</definedName>
    <definedName name="_xlnm._FilterDatabase" localSheetId="8" hidden="1">Insumos_MO!$A$7:$J$22</definedName>
    <definedName name="_xlnm._FilterDatabase" localSheetId="5" hidden="1">PO_CPE!$A$8:$W$269</definedName>
    <definedName name="_xlnm._FilterDatabase" localSheetId="4" hidden="1">PO_IND!$A$8:$Q$59</definedName>
    <definedName name="_xlnm._FilterDatabase" hidden="1">#REF!</definedName>
    <definedName name="AAA" localSheetId="9">#REF!</definedName>
    <definedName name="AAA">#REF!</definedName>
    <definedName name="_xlnm.Print_Area" localSheetId="9">ABC!$A$2:$P$219</definedName>
    <definedName name="_xlnm.Print_Area" localSheetId="2">BDI!$A$1:$C$28</definedName>
    <definedName name="_xlnm.Print_Area" localSheetId="6">Comp!$A$1:$N$514</definedName>
    <definedName name="_xlnm.Print_Area" localSheetId="0">'Dados Gerais'!$B$1:$G$36</definedName>
    <definedName name="_xlnm.Print_Area" localSheetId="3">ENCARGOS!$A$2:$D$42</definedName>
    <definedName name="_xlnm.Print_Area" localSheetId="7">Insumos_MAT!$A$1:$G$155</definedName>
    <definedName name="_xlnm.Print_Area" localSheetId="8">Insumos_MO!$A$1:$H$22</definedName>
    <definedName name="_xlnm.Print_Area" localSheetId="5">PO_CPE!$A$2:$V$265</definedName>
    <definedName name="_xlnm.Print_Area" localSheetId="4">PO_IND!$A$2:$O$64</definedName>
    <definedName name="_xlnm.Print_Area" localSheetId="1">Resumo!$B$1:$G$35</definedName>
    <definedName name="_xlnm.Print_Area">#REF!</definedName>
    <definedName name="_xlnm.Database" localSheetId="9">#REF!</definedName>
    <definedName name="_xlnm.Database" localSheetId="2">#REF!</definedName>
    <definedName name="_xlnm.Database" localSheetId="3">#REF!</definedName>
    <definedName name="_xlnm.Database">#REF!</definedName>
    <definedName name="CQuantidadesValidReal" localSheetId="9">#REF!</definedName>
    <definedName name="CQuantidadesValidReal">#REF!</definedName>
    <definedName name="EGTYDF" localSheetId="9">#REF!</definedName>
    <definedName name="EGTYDF">#REF!</definedName>
    <definedName name="Excel_BuiltIn_Database" localSheetId="9">#REF!</definedName>
    <definedName name="Excel_BuiltIn_Database" localSheetId="2">#REF!</definedName>
    <definedName name="Excel_BuiltIn_Database" localSheetId="3">#REF!</definedName>
    <definedName name="Excel_BuiltIn_Database">#REF!</definedName>
    <definedName name="Excel_BuiltIn_Print_Area_1" localSheetId="9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Excel_BuiltIn_Print_Area_1_1" localSheetId="9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Excel_BuiltIn_Print_Area_1_1_1" localSheetId="9">#REF!</definedName>
    <definedName name="Excel_BuiltIn_Print_Area_1_1_1" localSheetId="2">#REF!</definedName>
    <definedName name="Excel_BuiltIn_Print_Area_1_1_1" localSheetId="3">#REF!</definedName>
    <definedName name="Excel_BuiltIn_Print_Area_1_1_1">#REF!</definedName>
    <definedName name="Excel_BuiltIn_Print_Area_2" localSheetId="9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REFORÇO" localSheetId="9">#REF!,#REF!,#REF!,#REF!,#REF!,#REF!,#REF!,#REF!</definedName>
    <definedName name="REFORÇO" localSheetId="2">#REF!,#REF!,#REF!,#REF!,#REF!,#REF!,#REF!,#REF!</definedName>
    <definedName name="REFORÇO" localSheetId="3">#REF!,#REF!,#REF!,#REF!,#REF!,#REF!,#REF!,#REF!</definedName>
    <definedName name="REFORÇO">#REF!,#REF!,#REF!,#REF!,#REF!,#REF!,#REF!,#REF!</definedName>
    <definedName name="se" localSheetId="9">#REF!</definedName>
    <definedName name="se" localSheetId="2">#REF!</definedName>
    <definedName name="se" localSheetId="3">#REF!</definedName>
    <definedName name="se">#REF!</definedName>
    <definedName name="_xlnm.Print_Titles" localSheetId="9">ABC!$2:$9</definedName>
    <definedName name="_xlnm.Print_Titles" localSheetId="2">#REF!</definedName>
    <definedName name="_xlnm.Print_Titles" localSheetId="6">Comp!$1:$7</definedName>
    <definedName name="_xlnm.Print_Titles" localSheetId="3">#REF!</definedName>
    <definedName name="_xlnm.Print_Titles" localSheetId="7">Insumos_MAT!$1:$7</definedName>
    <definedName name="_xlnm.Print_Titles" localSheetId="8">Insumos_MO!$1:$7</definedName>
    <definedName name="_xlnm.Print_Titles" localSheetId="5">PO_CPE!$2:$9</definedName>
    <definedName name="_xlnm.Print_Titles" localSheetId="4">PO_IND!$2:$10</definedName>
    <definedName name="_xlnm.Print_Titles" localSheetId="1">Resumo!$1:$11</definedName>
    <definedName name="_xlnm.Print_Titles">#REF!</definedName>
    <definedName name="tudo" localSheetId="9">#REF!</definedName>
    <definedName name="tudo" localSheetId="2">#REF!</definedName>
    <definedName name="tudo" localSheetId="3">#REF!</definedName>
    <definedName name="tudo">#REF!</definedName>
    <definedName name="tudo2" localSheetId="9">#REF!</definedName>
    <definedName name="tudo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0" i="8" l="1"/>
  <c r="H80" i="8"/>
  <c r="H78" i="8"/>
  <c r="H77" i="8"/>
  <c r="H76" i="8"/>
  <c r="H75" i="8"/>
  <c r="H74" i="8"/>
  <c r="H73" i="8"/>
  <c r="H70" i="8"/>
  <c r="H68" i="8"/>
  <c r="H67" i="8"/>
  <c r="H66" i="8"/>
  <c r="H64" i="8"/>
  <c r="H63" i="8"/>
  <c r="H62" i="8"/>
  <c r="H60" i="8"/>
  <c r="H58" i="8"/>
  <c r="H57" i="8"/>
  <c r="H55" i="8"/>
  <c r="H54" i="8"/>
  <c r="H53" i="8"/>
  <c r="H29" i="8"/>
  <c r="H28" i="8"/>
  <c r="H27" i="8"/>
  <c r="H26" i="8"/>
  <c r="H25" i="8"/>
  <c r="H18" i="8"/>
  <c r="H17" i="8"/>
  <c r="H16" i="8"/>
  <c r="H15" i="8"/>
  <c r="H14" i="8"/>
  <c r="H13" i="8"/>
  <c r="H12" i="8"/>
  <c r="F17" i="8"/>
  <c r="F13" i="8"/>
  <c r="L260" i="8" l="1"/>
  <c r="L259" i="8"/>
  <c r="L258" i="8"/>
  <c r="L257" i="8"/>
  <c r="L256" i="8"/>
  <c r="L255" i="8"/>
  <c r="L254" i="8"/>
  <c r="L252" i="8"/>
  <c r="L251" i="8"/>
  <c r="L250" i="8"/>
  <c r="L249" i="8"/>
  <c r="L248" i="8"/>
  <c r="L247" i="8"/>
  <c r="L246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6" i="8"/>
  <c r="L221" i="8"/>
  <c r="L220" i="8"/>
  <c r="L208" i="8"/>
  <c r="L206" i="8"/>
  <c r="L204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47" i="8"/>
  <c r="L124" i="8"/>
  <c r="L116" i="8"/>
  <c r="L115" i="8"/>
  <c r="L113" i="8"/>
  <c r="L112" i="8"/>
  <c r="L111" i="8"/>
  <c r="L106" i="8"/>
  <c r="L100" i="8"/>
  <c r="L96" i="8"/>
  <c r="L95" i="8"/>
  <c r="L80" i="8"/>
  <c r="L78" i="8"/>
  <c r="L77" i="8"/>
  <c r="L76" i="8"/>
  <c r="L75" i="8"/>
  <c r="L74" i="8"/>
  <c r="L73" i="8"/>
  <c r="L70" i="8"/>
  <c r="L68" i="8"/>
  <c r="L67" i="8"/>
  <c r="L66" i="8"/>
  <c r="L64" i="8"/>
  <c r="L63" i="8"/>
  <c r="L62" i="8"/>
  <c r="L60" i="8"/>
  <c r="L58" i="8"/>
  <c r="L57" i="8"/>
  <c r="L55" i="8"/>
  <c r="L54" i="8"/>
  <c r="L53" i="8"/>
  <c r="L50" i="8"/>
  <c r="L48" i="8"/>
  <c r="L45" i="8"/>
  <c r="L41" i="8"/>
  <c r="L40" i="8"/>
  <c r="L36" i="8"/>
  <c r="L35" i="8"/>
  <c r="L34" i="8"/>
  <c r="L32" i="8"/>
  <c r="L29" i="8"/>
  <c r="L28" i="8"/>
  <c r="L26" i="8"/>
  <c r="L25" i="8"/>
  <c r="L23" i="8"/>
  <c r="L21" i="8"/>
  <c r="L18" i="8"/>
  <c r="L17" i="8"/>
  <c r="L16" i="8"/>
  <c r="L15" i="8"/>
  <c r="L14" i="8"/>
  <c r="L12" i="8"/>
  <c r="O12" i="12" l="1"/>
  <c r="P12" i="12"/>
  <c r="O13" i="12"/>
  <c r="P13" i="12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P194" i="12" s="1"/>
  <c r="P195" i="12" s="1"/>
  <c r="P196" i="12" s="1"/>
  <c r="P197" i="12" s="1"/>
  <c r="P198" i="12" s="1"/>
  <c r="P199" i="12" s="1"/>
  <c r="P200" i="12" s="1"/>
  <c r="P201" i="12" s="1"/>
  <c r="P202" i="12" s="1"/>
  <c r="P203" i="12" s="1"/>
  <c r="P204" i="12" s="1"/>
  <c r="P205" i="12" s="1"/>
  <c r="P206" i="12" s="1"/>
  <c r="P207" i="12" s="1"/>
  <c r="P208" i="12" s="1"/>
  <c r="P209" i="12" s="1"/>
  <c r="P210" i="12" s="1"/>
  <c r="P211" i="12" s="1"/>
  <c r="P212" i="12" s="1"/>
  <c r="P213" i="12" s="1"/>
  <c r="P214" i="12" s="1"/>
  <c r="P215" i="12" s="1"/>
  <c r="P216" i="12" s="1"/>
  <c r="P217" i="12" s="1"/>
  <c r="P218" i="12" s="1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P11" i="12"/>
  <c r="P10" i="12"/>
  <c r="O11" i="12"/>
  <c r="O10" i="12"/>
  <c r="N219" i="12"/>
  <c r="I59" i="12"/>
  <c r="J59" i="12"/>
  <c r="K59" i="12"/>
  <c r="L59" i="12"/>
  <c r="N59" i="12" s="1"/>
  <c r="I189" i="12"/>
  <c r="J189" i="12"/>
  <c r="K189" i="12"/>
  <c r="L189" i="12"/>
  <c r="N189" i="12" s="1"/>
  <c r="I60" i="12"/>
  <c r="J60" i="12"/>
  <c r="K60" i="12"/>
  <c r="L60" i="12"/>
  <c r="N60" i="12" s="1"/>
  <c r="I122" i="12"/>
  <c r="J122" i="12"/>
  <c r="K122" i="12"/>
  <c r="L122" i="12"/>
  <c r="N122" i="12" s="1"/>
  <c r="I100" i="12"/>
  <c r="J100" i="12"/>
  <c r="K100" i="12"/>
  <c r="L100" i="12"/>
  <c r="N100" i="12" s="1"/>
  <c r="I107" i="12"/>
  <c r="J107" i="12"/>
  <c r="K107" i="12"/>
  <c r="L107" i="12"/>
  <c r="N107" i="12" s="1"/>
  <c r="I42" i="12"/>
  <c r="J42" i="12"/>
  <c r="K42" i="12"/>
  <c r="L42" i="12"/>
  <c r="N42" i="12" s="1"/>
  <c r="I36" i="12"/>
  <c r="J36" i="12"/>
  <c r="K36" i="12"/>
  <c r="L36" i="12"/>
  <c r="N36" i="12" s="1"/>
  <c r="I25" i="12"/>
  <c r="J25" i="12"/>
  <c r="K25" i="12"/>
  <c r="L25" i="12"/>
  <c r="N25" i="12" s="1"/>
  <c r="I45" i="12"/>
  <c r="J45" i="12"/>
  <c r="K45" i="12"/>
  <c r="L45" i="12"/>
  <c r="N45" i="12" s="1"/>
  <c r="I158" i="12"/>
  <c r="J158" i="12"/>
  <c r="K158" i="12"/>
  <c r="L158" i="12"/>
  <c r="N158" i="12" s="1"/>
  <c r="I212" i="12"/>
  <c r="J212" i="12"/>
  <c r="K212" i="12"/>
  <c r="L212" i="12"/>
  <c r="N212" i="12" s="1"/>
  <c r="I218" i="12"/>
  <c r="J218" i="12"/>
  <c r="K218" i="12"/>
  <c r="L218" i="12"/>
  <c r="N218" i="12" s="1"/>
  <c r="I113" i="12"/>
  <c r="J113" i="12"/>
  <c r="K113" i="12"/>
  <c r="L113" i="12"/>
  <c r="N113" i="12" s="1"/>
  <c r="I127" i="12"/>
  <c r="J127" i="12"/>
  <c r="K127" i="12"/>
  <c r="L127" i="12"/>
  <c r="N127" i="12" s="1"/>
  <c r="I75" i="12"/>
  <c r="J75" i="12"/>
  <c r="K75" i="12"/>
  <c r="L75" i="12"/>
  <c r="N75" i="12" s="1"/>
  <c r="I82" i="12"/>
  <c r="J82" i="12"/>
  <c r="K82" i="12"/>
  <c r="L82" i="12"/>
  <c r="N82" i="12" s="1"/>
  <c r="I44" i="12"/>
  <c r="J44" i="12"/>
  <c r="K44" i="12"/>
  <c r="L44" i="12"/>
  <c r="N44" i="12" s="1"/>
  <c r="I12" i="12"/>
  <c r="J12" i="12"/>
  <c r="K12" i="12"/>
  <c r="L12" i="12"/>
  <c r="N12" i="12" s="1"/>
  <c r="I88" i="12"/>
  <c r="J88" i="12"/>
  <c r="K88" i="12"/>
  <c r="L88" i="12"/>
  <c r="N88" i="12" s="1"/>
  <c r="I49" i="12"/>
  <c r="J49" i="12"/>
  <c r="K49" i="12"/>
  <c r="L49" i="12"/>
  <c r="N49" i="12" s="1"/>
  <c r="I213" i="12"/>
  <c r="J213" i="12"/>
  <c r="K213" i="12"/>
  <c r="L213" i="12"/>
  <c r="N213" i="12" s="1"/>
  <c r="I86" i="12"/>
  <c r="J86" i="12"/>
  <c r="K86" i="12"/>
  <c r="L86" i="12"/>
  <c r="N86" i="12" s="1"/>
  <c r="I169" i="12"/>
  <c r="J169" i="12"/>
  <c r="K169" i="12"/>
  <c r="L169" i="12"/>
  <c r="N169" i="12" s="1"/>
  <c r="I163" i="12"/>
  <c r="J163" i="12"/>
  <c r="K163" i="12"/>
  <c r="L163" i="12"/>
  <c r="N163" i="12" s="1"/>
  <c r="I24" i="12"/>
  <c r="J24" i="12"/>
  <c r="K24" i="12"/>
  <c r="L24" i="12"/>
  <c r="N24" i="12" s="1"/>
  <c r="I173" i="12"/>
  <c r="J173" i="12"/>
  <c r="K173" i="12"/>
  <c r="L173" i="12"/>
  <c r="N173" i="12" s="1"/>
  <c r="I21" i="12"/>
  <c r="J21" i="12"/>
  <c r="K21" i="12"/>
  <c r="L21" i="12"/>
  <c r="N21" i="12" s="1"/>
  <c r="I143" i="12"/>
  <c r="J143" i="12"/>
  <c r="K143" i="12"/>
  <c r="L143" i="12"/>
  <c r="N143" i="12" s="1"/>
  <c r="I168" i="12"/>
  <c r="J168" i="12"/>
  <c r="K168" i="12"/>
  <c r="L168" i="12"/>
  <c r="N168" i="12" s="1"/>
  <c r="I43" i="12"/>
  <c r="J43" i="12"/>
  <c r="K43" i="12"/>
  <c r="L43" i="12"/>
  <c r="N43" i="12" s="1"/>
  <c r="I28" i="12"/>
  <c r="J28" i="12"/>
  <c r="K28" i="12"/>
  <c r="L28" i="12"/>
  <c r="I161" i="12"/>
  <c r="J161" i="12"/>
  <c r="K161" i="12"/>
  <c r="L161" i="12"/>
  <c r="N161" i="12" s="1"/>
  <c r="I102" i="12"/>
  <c r="J102" i="12"/>
  <c r="K102" i="12"/>
  <c r="L102" i="12"/>
  <c r="N102" i="12" s="1"/>
  <c r="I157" i="12"/>
  <c r="J157" i="12"/>
  <c r="K157" i="12"/>
  <c r="L157" i="12"/>
  <c r="N157" i="12" s="1"/>
  <c r="I137" i="12"/>
  <c r="J137" i="12"/>
  <c r="K137" i="12"/>
  <c r="L137" i="12"/>
  <c r="N137" i="12" s="1"/>
  <c r="I123" i="12"/>
  <c r="J123" i="12"/>
  <c r="K123" i="12"/>
  <c r="L123" i="12"/>
  <c r="N123" i="12" s="1"/>
  <c r="I214" i="12"/>
  <c r="J214" i="12"/>
  <c r="K214" i="12"/>
  <c r="L214" i="12"/>
  <c r="N214" i="12" s="1"/>
  <c r="I149" i="12"/>
  <c r="J149" i="12"/>
  <c r="K149" i="12"/>
  <c r="L149" i="12"/>
  <c r="N149" i="12" s="1"/>
  <c r="I136" i="12"/>
  <c r="J136" i="12"/>
  <c r="K136" i="12"/>
  <c r="L136" i="12"/>
  <c r="N136" i="12" s="1"/>
  <c r="I40" i="12"/>
  <c r="J40" i="12"/>
  <c r="K40" i="12"/>
  <c r="L40" i="12"/>
  <c r="N40" i="12" s="1"/>
  <c r="I76" i="12"/>
  <c r="J76" i="12"/>
  <c r="K76" i="12"/>
  <c r="L76" i="12"/>
  <c r="N76" i="12" s="1"/>
  <c r="I30" i="12"/>
  <c r="L30" i="12" s="1"/>
  <c r="N30" i="12" s="1"/>
  <c r="J30" i="12"/>
  <c r="K30" i="12"/>
  <c r="I89" i="12"/>
  <c r="L89" i="12" s="1"/>
  <c r="N89" i="12" s="1"/>
  <c r="J89" i="12"/>
  <c r="K89" i="12"/>
  <c r="I61" i="12"/>
  <c r="L61" i="12" s="1"/>
  <c r="N61" i="12" s="1"/>
  <c r="J61" i="12"/>
  <c r="K61" i="12"/>
  <c r="I124" i="12"/>
  <c r="L124" i="12" s="1"/>
  <c r="N124" i="12" s="1"/>
  <c r="J124" i="12"/>
  <c r="K124" i="12"/>
  <c r="I80" i="12"/>
  <c r="L80" i="12" s="1"/>
  <c r="N80" i="12" s="1"/>
  <c r="J80" i="12"/>
  <c r="K80" i="12"/>
  <c r="I20" i="12"/>
  <c r="L20" i="12" s="1"/>
  <c r="N20" i="12" s="1"/>
  <c r="J20" i="12"/>
  <c r="K20" i="12"/>
  <c r="I39" i="12"/>
  <c r="L39" i="12" s="1"/>
  <c r="N39" i="12" s="1"/>
  <c r="J39" i="12"/>
  <c r="K39" i="12"/>
  <c r="I41" i="12"/>
  <c r="L41" i="12" s="1"/>
  <c r="N41" i="12" s="1"/>
  <c r="J41" i="12"/>
  <c r="K41" i="12"/>
  <c r="I70" i="12"/>
  <c r="L70" i="12" s="1"/>
  <c r="N70" i="12" s="1"/>
  <c r="J70" i="12"/>
  <c r="K70" i="12"/>
  <c r="I65" i="12"/>
  <c r="L65" i="12" s="1"/>
  <c r="N65" i="12" s="1"/>
  <c r="J65" i="12"/>
  <c r="K65" i="12"/>
  <c r="I52" i="12"/>
  <c r="L52" i="12" s="1"/>
  <c r="N52" i="12" s="1"/>
  <c r="J52" i="12"/>
  <c r="K52" i="12"/>
  <c r="I197" i="12"/>
  <c r="L197" i="12" s="1"/>
  <c r="N197" i="12" s="1"/>
  <c r="J197" i="12"/>
  <c r="K197" i="12"/>
  <c r="I165" i="12"/>
  <c r="L165" i="12" s="1"/>
  <c r="N165" i="12" s="1"/>
  <c r="J165" i="12"/>
  <c r="K165" i="12"/>
  <c r="I71" i="12"/>
  <c r="L71" i="12" s="1"/>
  <c r="N71" i="12" s="1"/>
  <c r="J71" i="12"/>
  <c r="K71" i="12"/>
  <c r="I15" i="12"/>
  <c r="L15" i="12" s="1"/>
  <c r="N15" i="12" s="1"/>
  <c r="J15" i="12"/>
  <c r="K15" i="12"/>
  <c r="I133" i="12"/>
  <c r="L133" i="12" s="1"/>
  <c r="N133" i="12" s="1"/>
  <c r="J133" i="12"/>
  <c r="K133" i="12"/>
  <c r="I10" i="12"/>
  <c r="L10" i="12" s="1"/>
  <c r="N10" i="12" s="1"/>
  <c r="J10" i="12"/>
  <c r="K10" i="12"/>
  <c r="I26" i="12"/>
  <c r="L26" i="12" s="1"/>
  <c r="N26" i="12" s="1"/>
  <c r="J26" i="12"/>
  <c r="K26" i="12"/>
  <c r="I129" i="12"/>
  <c r="L129" i="12" s="1"/>
  <c r="N129" i="12" s="1"/>
  <c r="J129" i="12"/>
  <c r="K129" i="12"/>
  <c r="I142" i="12"/>
  <c r="L142" i="12" s="1"/>
  <c r="N142" i="12" s="1"/>
  <c r="J142" i="12"/>
  <c r="K142" i="12"/>
  <c r="I62" i="12"/>
  <c r="I174" i="12"/>
  <c r="J174" i="12"/>
  <c r="K174" i="12"/>
  <c r="L174" i="12"/>
  <c r="N174" i="12" s="1"/>
  <c r="I200" i="12"/>
  <c r="J200" i="12"/>
  <c r="K200" i="12"/>
  <c r="L200" i="12"/>
  <c r="N200" i="12" s="1"/>
  <c r="I178" i="12"/>
  <c r="J178" i="12"/>
  <c r="K178" i="12"/>
  <c r="L178" i="12"/>
  <c r="N178" i="12" s="1"/>
  <c r="I51" i="12"/>
  <c r="L51" i="12" s="1"/>
  <c r="N51" i="12" s="1"/>
  <c r="J51" i="12"/>
  <c r="K51" i="12"/>
  <c r="I37" i="12"/>
  <c r="L37" i="12" s="1"/>
  <c r="N37" i="12" s="1"/>
  <c r="J37" i="12"/>
  <c r="K37" i="12"/>
  <c r="I19" i="12"/>
  <c r="L19" i="12" s="1"/>
  <c r="N19" i="12" s="1"/>
  <c r="J19" i="12"/>
  <c r="K19" i="12"/>
  <c r="I14" i="12"/>
  <c r="L14" i="12" s="1"/>
  <c r="N14" i="12" s="1"/>
  <c r="J14" i="12"/>
  <c r="K14" i="12"/>
  <c r="I22" i="12"/>
  <c r="L22" i="12" s="1"/>
  <c r="N22" i="12" s="1"/>
  <c r="J22" i="12"/>
  <c r="K22" i="12"/>
  <c r="I125" i="12"/>
  <c r="L125" i="12" s="1"/>
  <c r="N125" i="12" s="1"/>
  <c r="J125" i="12"/>
  <c r="K125" i="12"/>
  <c r="I47" i="12"/>
  <c r="L47" i="12" s="1"/>
  <c r="N47" i="12" s="1"/>
  <c r="J47" i="12"/>
  <c r="K47" i="12"/>
  <c r="I46" i="12"/>
  <c r="L46" i="12" s="1"/>
  <c r="N46" i="12" s="1"/>
  <c r="J46" i="12"/>
  <c r="K46" i="12"/>
  <c r="I181" i="12"/>
  <c r="L181" i="12" s="1"/>
  <c r="N181" i="12" s="1"/>
  <c r="J181" i="12"/>
  <c r="K181" i="12"/>
  <c r="I31" i="12"/>
  <c r="L31" i="12" s="1"/>
  <c r="N31" i="12" s="1"/>
  <c r="J31" i="12"/>
  <c r="K31" i="12"/>
  <c r="I155" i="12"/>
  <c r="L155" i="12" s="1"/>
  <c r="N155" i="12" s="1"/>
  <c r="J155" i="12"/>
  <c r="K155" i="12"/>
  <c r="I141" i="12"/>
  <c r="L141" i="12" s="1"/>
  <c r="N141" i="12" s="1"/>
  <c r="J141" i="12"/>
  <c r="K141" i="12"/>
  <c r="I135" i="12"/>
  <c r="L135" i="12" s="1"/>
  <c r="N135" i="12" s="1"/>
  <c r="J135" i="12"/>
  <c r="K135" i="12"/>
  <c r="I139" i="12"/>
  <c r="L139" i="12" s="1"/>
  <c r="N139" i="12" s="1"/>
  <c r="J139" i="12"/>
  <c r="K139" i="12"/>
  <c r="I96" i="12"/>
  <c r="L96" i="12" s="1"/>
  <c r="N96" i="12" s="1"/>
  <c r="J96" i="12"/>
  <c r="K96" i="12"/>
  <c r="I18" i="12"/>
  <c r="L18" i="12" s="1"/>
  <c r="N18" i="12" s="1"/>
  <c r="J18" i="12"/>
  <c r="K18" i="12"/>
  <c r="I216" i="12"/>
  <c r="L216" i="12" s="1"/>
  <c r="N216" i="12" s="1"/>
  <c r="J216" i="12"/>
  <c r="K216" i="12"/>
  <c r="I177" i="12"/>
  <c r="L177" i="12" s="1"/>
  <c r="N177" i="12" s="1"/>
  <c r="J177" i="12"/>
  <c r="K177" i="12"/>
  <c r="I147" i="12"/>
  <c r="L147" i="12" s="1"/>
  <c r="N147" i="12" s="1"/>
  <c r="J147" i="12"/>
  <c r="K147" i="12"/>
  <c r="I156" i="12"/>
  <c r="L156" i="12" s="1"/>
  <c r="N156" i="12" s="1"/>
  <c r="J156" i="12"/>
  <c r="K156" i="12"/>
  <c r="I159" i="12"/>
  <c r="L159" i="12" s="1"/>
  <c r="N159" i="12" s="1"/>
  <c r="J159" i="12"/>
  <c r="K159" i="12"/>
  <c r="I164" i="12"/>
  <c r="L164" i="12" s="1"/>
  <c r="N164" i="12" s="1"/>
  <c r="J164" i="12"/>
  <c r="K164" i="12"/>
  <c r="I205" i="12"/>
  <c r="L205" i="12" s="1"/>
  <c r="N205" i="12" s="1"/>
  <c r="J205" i="12"/>
  <c r="K205" i="12"/>
  <c r="I172" i="12"/>
  <c r="L172" i="12" s="1"/>
  <c r="N172" i="12" s="1"/>
  <c r="J172" i="12"/>
  <c r="K172" i="12"/>
  <c r="I206" i="12"/>
  <c r="L206" i="12" s="1"/>
  <c r="N206" i="12" s="1"/>
  <c r="J206" i="12"/>
  <c r="K206" i="12"/>
  <c r="I185" i="12"/>
  <c r="L185" i="12" s="1"/>
  <c r="N185" i="12" s="1"/>
  <c r="J185" i="12"/>
  <c r="K185" i="12"/>
  <c r="I195" i="12"/>
  <c r="L195" i="12" s="1"/>
  <c r="N195" i="12" s="1"/>
  <c r="J195" i="12"/>
  <c r="K195" i="12"/>
  <c r="I38" i="12"/>
  <c r="L38" i="12" s="1"/>
  <c r="N38" i="12" s="1"/>
  <c r="J38" i="12"/>
  <c r="K38" i="12"/>
  <c r="I85" i="12"/>
  <c r="L85" i="12" s="1"/>
  <c r="N85" i="12" s="1"/>
  <c r="J85" i="12"/>
  <c r="K85" i="12"/>
  <c r="I138" i="12"/>
  <c r="L138" i="12" s="1"/>
  <c r="N138" i="12" s="1"/>
  <c r="J138" i="12"/>
  <c r="K138" i="12"/>
  <c r="I66" i="12"/>
  <c r="L66" i="12" s="1"/>
  <c r="N66" i="12" s="1"/>
  <c r="J66" i="12"/>
  <c r="K66" i="12"/>
  <c r="I32" i="12"/>
  <c r="L32" i="12" s="1"/>
  <c r="N32" i="12" s="1"/>
  <c r="J32" i="12"/>
  <c r="K32" i="12"/>
  <c r="I211" i="12"/>
  <c r="L211" i="12" s="1"/>
  <c r="N211" i="12" s="1"/>
  <c r="J211" i="12"/>
  <c r="K211" i="12"/>
  <c r="I184" i="12"/>
  <c r="L184" i="12" s="1"/>
  <c r="N184" i="12" s="1"/>
  <c r="J184" i="12"/>
  <c r="K184" i="12"/>
  <c r="I128" i="12"/>
  <c r="L128" i="12" s="1"/>
  <c r="N128" i="12" s="1"/>
  <c r="J128" i="12"/>
  <c r="K128" i="12"/>
  <c r="I106" i="12"/>
  <c r="L106" i="12" s="1"/>
  <c r="N106" i="12" s="1"/>
  <c r="J106" i="12"/>
  <c r="K106" i="12"/>
  <c r="I54" i="12"/>
  <c r="I153" i="12"/>
  <c r="L153" i="12" s="1"/>
  <c r="N153" i="12" s="1"/>
  <c r="J153" i="12"/>
  <c r="K153" i="12"/>
  <c r="I50" i="12"/>
  <c r="L50" i="12" s="1"/>
  <c r="N50" i="12" s="1"/>
  <c r="J50" i="12"/>
  <c r="K50" i="12"/>
  <c r="I94" i="12"/>
  <c r="L94" i="12" s="1"/>
  <c r="N94" i="12" s="1"/>
  <c r="J94" i="12"/>
  <c r="K94" i="12"/>
  <c r="I121" i="12"/>
  <c r="L121" i="12" s="1"/>
  <c r="N121" i="12" s="1"/>
  <c r="J121" i="12"/>
  <c r="K121" i="12"/>
  <c r="I92" i="12"/>
  <c r="L92" i="12" s="1"/>
  <c r="N92" i="12" s="1"/>
  <c r="J92" i="12"/>
  <c r="K92" i="12"/>
  <c r="I74" i="12"/>
  <c r="L74" i="12" s="1"/>
  <c r="N74" i="12" s="1"/>
  <c r="J74" i="12"/>
  <c r="K74" i="12"/>
  <c r="I194" i="12"/>
  <c r="L194" i="12" s="1"/>
  <c r="N194" i="12" s="1"/>
  <c r="J194" i="12"/>
  <c r="K194" i="12"/>
  <c r="I198" i="12"/>
  <c r="L198" i="12" s="1"/>
  <c r="N198" i="12" s="1"/>
  <c r="J198" i="12"/>
  <c r="K198" i="12"/>
  <c r="I182" i="12"/>
  <c r="L182" i="12" s="1"/>
  <c r="N182" i="12" s="1"/>
  <c r="J182" i="12"/>
  <c r="K182" i="12"/>
  <c r="I160" i="12"/>
  <c r="L160" i="12" s="1"/>
  <c r="N160" i="12" s="1"/>
  <c r="J160" i="12"/>
  <c r="K160" i="12"/>
  <c r="I148" i="12"/>
  <c r="L148" i="12" s="1"/>
  <c r="N148" i="12" s="1"/>
  <c r="J148" i="12"/>
  <c r="K148" i="12"/>
  <c r="I104" i="12"/>
  <c r="L104" i="12" s="1"/>
  <c r="N104" i="12" s="1"/>
  <c r="J104" i="12"/>
  <c r="K104" i="12"/>
  <c r="I151" i="12"/>
  <c r="L151" i="12" s="1"/>
  <c r="N151" i="12" s="1"/>
  <c r="J151" i="12"/>
  <c r="K151" i="12"/>
  <c r="I108" i="12"/>
  <c r="L108" i="12" s="1"/>
  <c r="N108" i="12" s="1"/>
  <c r="J108" i="12"/>
  <c r="K108" i="12"/>
  <c r="I34" i="12"/>
  <c r="L34" i="12" s="1"/>
  <c r="N34" i="12" s="1"/>
  <c r="J34" i="12"/>
  <c r="K34" i="12"/>
  <c r="I101" i="12"/>
  <c r="L101" i="12" s="1"/>
  <c r="N101" i="12" s="1"/>
  <c r="J101" i="12"/>
  <c r="K101" i="12"/>
  <c r="I99" i="12"/>
  <c r="L99" i="12" s="1"/>
  <c r="N99" i="12" s="1"/>
  <c r="J99" i="12"/>
  <c r="K99" i="12"/>
  <c r="I110" i="12"/>
  <c r="L110" i="12" s="1"/>
  <c r="N110" i="12" s="1"/>
  <c r="J110" i="12"/>
  <c r="K110" i="12"/>
  <c r="I208" i="12"/>
  <c r="L208" i="12" s="1"/>
  <c r="N208" i="12" s="1"/>
  <c r="J208" i="12"/>
  <c r="K208" i="12"/>
  <c r="I16" i="12"/>
  <c r="L16" i="12" s="1"/>
  <c r="N16" i="12" s="1"/>
  <c r="J16" i="12"/>
  <c r="K16" i="12"/>
  <c r="I81" i="12"/>
  <c r="L81" i="12" s="1"/>
  <c r="N81" i="12" s="1"/>
  <c r="J81" i="12"/>
  <c r="K81" i="12"/>
  <c r="I73" i="12"/>
  <c r="L73" i="12" s="1"/>
  <c r="N73" i="12" s="1"/>
  <c r="J73" i="12"/>
  <c r="K73" i="12"/>
  <c r="I67" i="12"/>
  <c r="L67" i="12" s="1"/>
  <c r="N67" i="12" s="1"/>
  <c r="J67" i="12"/>
  <c r="K67" i="12"/>
  <c r="I145" i="12"/>
  <c r="L145" i="12" s="1"/>
  <c r="N145" i="12" s="1"/>
  <c r="J145" i="12"/>
  <c r="K145" i="12"/>
  <c r="I11" i="12"/>
  <c r="L11" i="12" s="1"/>
  <c r="N11" i="12" s="1"/>
  <c r="J11" i="12"/>
  <c r="K11" i="12"/>
  <c r="I91" i="12"/>
  <c r="L91" i="12" s="1"/>
  <c r="N91" i="12" s="1"/>
  <c r="J91" i="12"/>
  <c r="K91" i="12"/>
  <c r="I27" i="12"/>
  <c r="L27" i="12" s="1"/>
  <c r="N27" i="12" s="1"/>
  <c r="J27" i="12"/>
  <c r="K27" i="12"/>
  <c r="I56" i="12"/>
  <c r="L56" i="12" s="1"/>
  <c r="N56" i="12" s="1"/>
  <c r="J56" i="12"/>
  <c r="K56" i="12"/>
  <c r="I58" i="12"/>
  <c r="L58" i="12" s="1"/>
  <c r="N58" i="12" s="1"/>
  <c r="J58" i="12"/>
  <c r="K58" i="12"/>
  <c r="I90" i="12"/>
  <c r="L90" i="12" s="1"/>
  <c r="N90" i="12" s="1"/>
  <c r="J90" i="12"/>
  <c r="K90" i="12"/>
  <c r="I23" i="12"/>
  <c r="L23" i="12" s="1"/>
  <c r="N23" i="12" s="1"/>
  <c r="J23" i="12"/>
  <c r="K23" i="12"/>
  <c r="I207" i="12"/>
  <c r="L207" i="12" s="1"/>
  <c r="N207" i="12" s="1"/>
  <c r="J207" i="12"/>
  <c r="K207" i="12"/>
  <c r="I190" i="12"/>
  <c r="L190" i="12" s="1"/>
  <c r="N190" i="12" s="1"/>
  <c r="J190" i="12"/>
  <c r="K190" i="12"/>
  <c r="I93" i="12"/>
  <c r="L93" i="12" s="1"/>
  <c r="N93" i="12" s="1"/>
  <c r="J93" i="12"/>
  <c r="K93" i="12"/>
  <c r="I13" i="12"/>
  <c r="L13" i="12" s="1"/>
  <c r="N13" i="12" s="1"/>
  <c r="J13" i="12"/>
  <c r="K13" i="12"/>
  <c r="I55" i="12"/>
  <c r="L55" i="12" s="1"/>
  <c r="N55" i="12" s="1"/>
  <c r="J55" i="12"/>
  <c r="K55" i="12"/>
  <c r="I35" i="12"/>
  <c r="L35" i="12" s="1"/>
  <c r="N35" i="12" s="1"/>
  <c r="J35" i="12"/>
  <c r="K35" i="12"/>
  <c r="I17" i="12"/>
  <c r="L17" i="12" s="1"/>
  <c r="N17" i="12" s="1"/>
  <c r="J17" i="12"/>
  <c r="K17" i="12"/>
  <c r="I114" i="12"/>
  <c r="L114" i="12" s="1"/>
  <c r="N114" i="12" s="1"/>
  <c r="J114" i="12"/>
  <c r="K114" i="12"/>
  <c r="I77" i="12"/>
  <c r="L77" i="12" s="1"/>
  <c r="N77" i="12" s="1"/>
  <c r="J77" i="12"/>
  <c r="K77" i="12"/>
  <c r="I204" i="12"/>
  <c r="L204" i="12" s="1"/>
  <c r="N204" i="12" s="1"/>
  <c r="J204" i="12"/>
  <c r="K204" i="12"/>
  <c r="I215" i="12"/>
  <c r="L215" i="12" s="1"/>
  <c r="N215" i="12" s="1"/>
  <c r="J215" i="12"/>
  <c r="K215" i="12"/>
  <c r="I126" i="12"/>
  <c r="L126" i="12" s="1"/>
  <c r="N126" i="12" s="1"/>
  <c r="J126" i="12"/>
  <c r="K126" i="12"/>
  <c r="I117" i="12"/>
  <c r="L117" i="12" s="1"/>
  <c r="N117" i="12" s="1"/>
  <c r="J117" i="12"/>
  <c r="K117" i="12"/>
  <c r="I152" i="12"/>
  <c r="L152" i="12" s="1"/>
  <c r="N152" i="12" s="1"/>
  <c r="J152" i="12"/>
  <c r="K152" i="12"/>
  <c r="I134" i="12"/>
  <c r="L134" i="12" s="1"/>
  <c r="N134" i="12" s="1"/>
  <c r="J134" i="12"/>
  <c r="K134" i="12"/>
  <c r="I209" i="12"/>
  <c r="L209" i="12" s="1"/>
  <c r="N209" i="12" s="1"/>
  <c r="J209" i="12"/>
  <c r="K209" i="12"/>
  <c r="I119" i="12"/>
  <c r="L119" i="12" s="1"/>
  <c r="N119" i="12" s="1"/>
  <c r="J119" i="12"/>
  <c r="K119" i="12"/>
  <c r="I118" i="12"/>
  <c r="L118" i="12" s="1"/>
  <c r="N118" i="12" s="1"/>
  <c r="J118" i="12"/>
  <c r="K118" i="12"/>
  <c r="I217" i="12"/>
  <c r="L217" i="12" s="1"/>
  <c r="N217" i="12" s="1"/>
  <c r="J217" i="12"/>
  <c r="K217" i="12"/>
  <c r="I167" i="12"/>
  <c r="L167" i="12" s="1"/>
  <c r="N167" i="12" s="1"/>
  <c r="J167" i="12"/>
  <c r="K167" i="12"/>
  <c r="I179" i="12"/>
  <c r="L179" i="12" s="1"/>
  <c r="N179" i="12" s="1"/>
  <c r="J179" i="12"/>
  <c r="K179" i="12"/>
  <c r="I68" i="12"/>
  <c r="L68" i="12" s="1"/>
  <c r="N68" i="12" s="1"/>
  <c r="J68" i="12"/>
  <c r="K68" i="12"/>
  <c r="I115" i="12"/>
  <c r="L115" i="12" s="1"/>
  <c r="N115" i="12" s="1"/>
  <c r="J115" i="12"/>
  <c r="K115" i="12"/>
  <c r="I170" i="12"/>
  <c r="L170" i="12" s="1"/>
  <c r="N170" i="12" s="1"/>
  <c r="J170" i="12"/>
  <c r="K170" i="12"/>
  <c r="I171" i="12"/>
  <c r="L171" i="12" s="1"/>
  <c r="N171" i="12" s="1"/>
  <c r="J171" i="12"/>
  <c r="K171" i="12"/>
  <c r="I112" i="12"/>
  <c r="L112" i="12" s="1"/>
  <c r="N112" i="12" s="1"/>
  <c r="J112" i="12"/>
  <c r="K112" i="12"/>
  <c r="I196" i="12"/>
  <c r="L196" i="12" s="1"/>
  <c r="N196" i="12" s="1"/>
  <c r="J196" i="12"/>
  <c r="K196" i="12"/>
  <c r="I72" i="12"/>
  <c r="L72" i="12" s="1"/>
  <c r="N72" i="12" s="1"/>
  <c r="J72" i="12"/>
  <c r="K72" i="12"/>
  <c r="I84" i="12"/>
  <c r="L84" i="12" s="1"/>
  <c r="N84" i="12" s="1"/>
  <c r="J84" i="12"/>
  <c r="K84" i="12"/>
  <c r="I29" i="12"/>
  <c r="L29" i="12" s="1"/>
  <c r="N29" i="12" s="1"/>
  <c r="J29" i="12"/>
  <c r="K29" i="12"/>
  <c r="I33" i="12"/>
  <c r="J33" i="12"/>
  <c r="K33" i="12"/>
  <c r="L33" i="12"/>
  <c r="N33" i="12" s="1"/>
  <c r="I63" i="12"/>
  <c r="J63" i="12"/>
  <c r="K63" i="12"/>
  <c r="L63" i="12"/>
  <c r="N63" i="12" s="1"/>
  <c r="I105" i="12"/>
  <c r="J105" i="12"/>
  <c r="K105" i="12"/>
  <c r="L105" i="12"/>
  <c r="N105" i="12" s="1"/>
  <c r="I95" i="12"/>
  <c r="J95" i="12"/>
  <c r="K95" i="12"/>
  <c r="L95" i="12"/>
  <c r="N95" i="12" s="1"/>
  <c r="I69" i="12"/>
  <c r="J69" i="12"/>
  <c r="K69" i="12"/>
  <c r="L69" i="12"/>
  <c r="N69" i="12" s="1"/>
  <c r="I175" i="12"/>
  <c r="J175" i="12"/>
  <c r="K175" i="12"/>
  <c r="L175" i="12"/>
  <c r="N175" i="12" s="1"/>
  <c r="I64" i="12"/>
  <c r="J64" i="12"/>
  <c r="K64" i="12"/>
  <c r="L64" i="12"/>
  <c r="N64" i="12" s="1"/>
  <c r="I210" i="12"/>
  <c r="J210" i="12"/>
  <c r="K210" i="12"/>
  <c r="L210" i="12"/>
  <c r="N210" i="12" s="1"/>
  <c r="I186" i="12"/>
  <c r="J186" i="12"/>
  <c r="K186" i="12"/>
  <c r="L186" i="12"/>
  <c r="N186" i="12" s="1"/>
  <c r="I191" i="12"/>
  <c r="J191" i="12"/>
  <c r="K191" i="12"/>
  <c r="L191" i="12"/>
  <c r="N191" i="12" s="1"/>
  <c r="I199" i="12"/>
  <c r="J199" i="12"/>
  <c r="K199" i="12"/>
  <c r="L199" i="12"/>
  <c r="N199" i="12" s="1"/>
  <c r="I201" i="12"/>
  <c r="J201" i="12"/>
  <c r="K201" i="12"/>
  <c r="L201" i="12"/>
  <c r="N201" i="12" s="1"/>
  <c r="I192" i="12"/>
  <c r="J192" i="12"/>
  <c r="K192" i="12"/>
  <c r="L192" i="12"/>
  <c r="N192" i="12" s="1"/>
  <c r="I202" i="12"/>
  <c r="J202" i="12"/>
  <c r="K202" i="12"/>
  <c r="L202" i="12"/>
  <c r="N202" i="12" s="1"/>
  <c r="I87" i="12"/>
  <c r="I193" i="12"/>
  <c r="J193" i="12"/>
  <c r="K193" i="12"/>
  <c r="L193" i="12"/>
  <c r="N193" i="12" s="1"/>
  <c r="I97" i="12"/>
  <c r="J97" i="12"/>
  <c r="K97" i="12"/>
  <c r="L97" i="12"/>
  <c r="N97" i="12" s="1"/>
  <c r="I176" i="12"/>
  <c r="J176" i="12"/>
  <c r="K176" i="12"/>
  <c r="L176" i="12"/>
  <c r="N176" i="12" s="1"/>
  <c r="I103" i="12"/>
  <c r="J103" i="12"/>
  <c r="K103" i="12"/>
  <c r="L103" i="12"/>
  <c r="N103" i="12" s="1"/>
  <c r="I154" i="12"/>
  <c r="J154" i="12"/>
  <c r="K154" i="12"/>
  <c r="L154" i="12"/>
  <c r="N154" i="12" s="1"/>
  <c r="I187" i="12"/>
  <c r="J187" i="12"/>
  <c r="K187" i="12"/>
  <c r="L187" i="12"/>
  <c r="N187" i="12" s="1"/>
  <c r="I203" i="12"/>
  <c r="J203" i="12"/>
  <c r="K203" i="12"/>
  <c r="L203" i="12"/>
  <c r="N203" i="12" s="1"/>
  <c r="I116" i="12"/>
  <c r="J116" i="12"/>
  <c r="K116" i="12"/>
  <c r="L116" i="12"/>
  <c r="N116" i="12" s="1"/>
  <c r="I109" i="12"/>
  <c r="J109" i="12"/>
  <c r="K109" i="12"/>
  <c r="L109" i="12"/>
  <c r="N109" i="12" s="1"/>
  <c r="I132" i="12"/>
  <c r="J132" i="12"/>
  <c r="K132" i="12"/>
  <c r="L132" i="12"/>
  <c r="N132" i="12" s="1"/>
  <c r="I183" i="12"/>
  <c r="J183" i="12"/>
  <c r="K183" i="12"/>
  <c r="L183" i="12"/>
  <c r="N183" i="12" s="1"/>
  <c r="I166" i="12"/>
  <c r="J166" i="12"/>
  <c r="K166" i="12"/>
  <c r="L166" i="12"/>
  <c r="N166" i="12" s="1"/>
  <c r="I48" i="12"/>
  <c r="J48" i="12"/>
  <c r="K48" i="12"/>
  <c r="L48" i="12"/>
  <c r="N48" i="12" s="1"/>
  <c r="I120" i="12"/>
  <c r="J120" i="12"/>
  <c r="K120" i="12"/>
  <c r="L120" i="12"/>
  <c r="N120" i="12" s="1"/>
  <c r="K131" i="12"/>
  <c r="J131" i="12"/>
  <c r="I131" i="12"/>
  <c r="L131" i="12" s="1"/>
  <c r="N131" i="12" s="1"/>
  <c r="K57" i="12"/>
  <c r="C57" i="12"/>
  <c r="K83" i="12"/>
  <c r="C83" i="12"/>
  <c r="K140" i="12"/>
  <c r="C140" i="12"/>
  <c r="C180" i="12"/>
  <c r="C188" i="12"/>
  <c r="C146" i="12"/>
  <c r="C162" i="12"/>
  <c r="C130" i="12"/>
  <c r="K53" i="12"/>
  <c r="C53" i="12"/>
  <c r="K79" i="12"/>
  <c r="C79" i="12"/>
  <c r="C98" i="12"/>
  <c r="K150" i="12"/>
  <c r="C150" i="12"/>
  <c r="K111" i="12"/>
  <c r="I111" i="12"/>
  <c r="L111" i="12" s="1"/>
  <c r="C111" i="12"/>
  <c r="C78" i="12"/>
  <c r="K144" i="12"/>
  <c r="C144" i="12"/>
  <c r="L6" i="12"/>
  <c r="H6" i="12"/>
  <c r="F6" i="12"/>
  <c r="D6" i="12"/>
  <c r="L5" i="12"/>
  <c r="D5" i="12"/>
  <c r="D4" i="12"/>
  <c r="D3" i="12"/>
  <c r="I53" i="12" l="1"/>
  <c r="L53" i="12" s="1"/>
  <c r="N53" i="12" s="1"/>
  <c r="I188" i="12"/>
  <c r="I57" i="12"/>
  <c r="L57" i="12" s="1"/>
  <c r="I150" i="12"/>
  <c r="L150" i="12" s="1"/>
  <c r="I130" i="12"/>
  <c r="I180" i="12"/>
  <c r="I78" i="12"/>
  <c r="I79" i="12"/>
  <c r="L79" i="12" s="1"/>
  <c r="I146" i="12"/>
  <c r="I83" i="12"/>
  <c r="L83" i="12" s="1"/>
  <c r="I144" i="12"/>
  <c r="L144" i="12" s="1"/>
  <c r="I98" i="12"/>
  <c r="L98" i="12" s="1"/>
  <c r="N98" i="12" s="1"/>
  <c r="I162" i="12"/>
  <c r="I140" i="12"/>
  <c r="L140" i="12" s="1"/>
  <c r="K98" i="12"/>
  <c r="J57" i="12"/>
  <c r="J79" i="12"/>
  <c r="J53" i="12"/>
  <c r="J140" i="12"/>
  <c r="J144" i="12"/>
  <c r="J98" i="12"/>
  <c r="J150" i="12"/>
  <c r="J111" i="12"/>
  <c r="J83" i="12"/>
  <c r="K180" i="12"/>
  <c r="M54" i="12"/>
  <c r="M83" i="12"/>
  <c r="M62" i="12"/>
  <c r="M87" i="12"/>
  <c r="M144" i="12"/>
  <c r="M98" i="12"/>
  <c r="K130" i="12"/>
  <c r="M28" i="12"/>
  <c r="N28" i="12" s="1"/>
  <c r="M78" i="12"/>
  <c r="M111" i="12"/>
  <c r="N111" i="12" s="1"/>
  <c r="M150" i="12"/>
  <c r="M79" i="12"/>
  <c r="M53" i="12"/>
  <c r="M162" i="12"/>
  <c r="K188" i="12"/>
  <c r="M188" i="12"/>
  <c r="M130" i="12"/>
  <c r="M146" i="12"/>
  <c r="M180" i="12"/>
  <c r="M140" i="12"/>
  <c r="M57" i="12"/>
  <c r="N57" i="12" s="1"/>
  <c r="M14" i="8"/>
  <c r="M15" i="8"/>
  <c r="M16" i="8"/>
  <c r="M17" i="8"/>
  <c r="M18" i="8"/>
  <c r="M19" i="8"/>
  <c r="N79" i="12" l="1"/>
  <c r="N150" i="12"/>
  <c r="N140" i="12"/>
  <c r="L162" i="12"/>
  <c r="N162" i="12" s="1"/>
  <c r="L146" i="12"/>
  <c r="N146" i="12" s="1"/>
  <c r="L78" i="12"/>
  <c r="N78" i="12" s="1"/>
  <c r="N144" i="12"/>
  <c r="N83" i="12"/>
  <c r="J146" i="12"/>
  <c r="J78" i="12"/>
  <c r="K78" i="12"/>
  <c r="J162" i="12"/>
  <c r="K146" i="12"/>
  <c r="K162" i="12"/>
  <c r="L87" i="12"/>
  <c r="N87" i="12" s="1"/>
  <c r="J87" i="12"/>
  <c r="K87" i="12"/>
  <c r="J180" i="12"/>
  <c r="L54" i="12"/>
  <c r="N54" i="12" s="1"/>
  <c r="K54" i="12"/>
  <c r="J54" i="12"/>
  <c r="L62" i="12"/>
  <c r="N62" i="12" s="1"/>
  <c r="J62" i="12"/>
  <c r="K62" i="12"/>
  <c r="J130" i="12"/>
  <c r="J188" i="12"/>
  <c r="L180" i="12"/>
  <c r="N180" i="12" s="1"/>
  <c r="L188" i="12"/>
  <c r="N188" i="12" s="1"/>
  <c r="L130" i="12"/>
  <c r="N130" i="12" s="1"/>
  <c r="M247" i="8"/>
  <c r="M248" i="8"/>
  <c r="M249" i="8"/>
  <c r="M250" i="8"/>
  <c r="M251" i="8"/>
  <c r="M252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22" i="8"/>
  <c r="M123" i="8"/>
  <c r="M124" i="8"/>
  <c r="M125" i="8"/>
  <c r="M126" i="8"/>
  <c r="M127" i="8"/>
  <c r="M128" i="8"/>
  <c r="M129" i="8"/>
  <c r="M120" i="8"/>
  <c r="M121" i="8"/>
  <c r="M26" i="8"/>
  <c r="M28" i="8"/>
  <c r="M29" i="8"/>
  <c r="M210" i="8" l="1"/>
  <c r="G51" i="3" l="1"/>
  <c r="F377" i="2" s="1"/>
  <c r="H377" i="2" s="1"/>
  <c r="C376" i="2"/>
  <c r="B376" i="2"/>
  <c r="A376" i="2"/>
  <c r="K378" i="2"/>
  <c r="M378" i="2" s="1"/>
  <c r="J378" i="2"/>
  <c r="E378" i="2"/>
  <c r="K377" i="2"/>
  <c r="M377" i="2" s="1"/>
  <c r="M376" i="2" s="1"/>
  <c r="J377" i="2"/>
  <c r="E377" i="2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7" i="8"/>
  <c r="C238" i="8"/>
  <c r="C239" i="8"/>
  <c r="C240" i="8"/>
  <c r="C241" i="8"/>
  <c r="C242" i="8"/>
  <c r="C243" i="8"/>
  <c r="C244" i="8"/>
  <c r="M137" i="8"/>
  <c r="M135" i="8"/>
  <c r="M134" i="8"/>
  <c r="M133" i="8"/>
  <c r="M132" i="8"/>
  <c r="M131" i="8"/>
  <c r="M130" i="8"/>
  <c r="M119" i="8"/>
  <c r="M118" i="8"/>
  <c r="M117" i="8"/>
  <c r="M114" i="8"/>
  <c r="M110" i="8"/>
  <c r="M109" i="8"/>
  <c r="M108" i="8"/>
  <c r="M107" i="8"/>
  <c r="M105" i="8"/>
  <c r="M104" i="8"/>
  <c r="M103" i="8"/>
  <c r="M102" i="8"/>
  <c r="M101" i="8"/>
  <c r="M99" i="8"/>
  <c r="M98" i="8"/>
  <c r="M97" i="8"/>
  <c r="M94" i="8"/>
  <c r="M93" i="8"/>
  <c r="M92" i="8"/>
  <c r="M91" i="8"/>
  <c r="M90" i="8"/>
  <c r="M89" i="8"/>
  <c r="M88" i="8"/>
  <c r="M85" i="8"/>
  <c r="M84" i="8"/>
  <c r="M83" i="8"/>
  <c r="M116" i="8" l="1"/>
  <c r="M115" i="8"/>
  <c r="M113" i="8"/>
  <c r="M112" i="8"/>
  <c r="M111" i="8"/>
  <c r="M106" i="8"/>
  <c r="M100" i="8"/>
  <c r="M96" i="8"/>
  <c r="M95" i="8"/>
  <c r="M257" i="8"/>
  <c r="M256" i="8"/>
  <c r="M87" i="8"/>
  <c r="M86" i="8"/>
  <c r="M78" i="8"/>
  <c r="M75" i="8"/>
  <c r="M74" i="8"/>
  <c r="M68" i="8"/>
  <c r="M67" i="8"/>
  <c r="M63" i="8"/>
  <c r="M62" i="8"/>
  <c r="M57" i="8"/>
  <c r="M55" i="8"/>
  <c r="M25" i="8"/>
  <c r="Y103" i="8"/>
  <c r="Y120" i="8"/>
  <c r="Y121" i="8"/>
  <c r="Y129" i="8"/>
  <c r="Y227" i="8"/>
  <c r="Y228" i="8"/>
  <c r="Y229" i="8"/>
  <c r="Y230" i="8"/>
  <c r="Y231" i="8"/>
  <c r="Y232" i="8"/>
  <c r="Y233" i="8"/>
  <c r="Y234" i="8"/>
  <c r="Y235" i="8"/>
  <c r="Y236" i="8"/>
  <c r="Y237" i="8"/>
  <c r="Y238" i="8"/>
  <c r="Y239" i="8"/>
  <c r="Y240" i="8"/>
  <c r="Y241" i="8"/>
  <c r="Y242" i="8"/>
  <c r="Y243" i="8"/>
  <c r="Y244" i="8"/>
  <c r="M53" i="8" l="1"/>
  <c r="M58" i="8"/>
  <c r="M64" i="8"/>
  <c r="M76" i="8"/>
  <c r="M54" i="8"/>
  <c r="M66" i="8"/>
  <c r="M73" i="8"/>
  <c r="M77" i="8"/>
  <c r="M36" i="8"/>
  <c r="M34" i="8"/>
  <c r="M40" i="8"/>
  <c r="M254" i="8"/>
  <c r="M246" i="8"/>
  <c r="M255" i="8"/>
  <c r="M258" i="8"/>
  <c r="M35" i="8"/>
  <c r="M41" i="8"/>
  <c r="M12" i="8"/>
  <c r="G67" i="3" l="1"/>
  <c r="C64" i="2"/>
  <c r="B64" i="2"/>
  <c r="D65" i="2" s="1"/>
  <c r="A64" i="2"/>
  <c r="C28" i="8"/>
  <c r="F65" i="2" l="1"/>
  <c r="H65" i="2" s="1"/>
  <c r="H64" i="2" s="1"/>
  <c r="N64" i="2" s="1"/>
  <c r="E65" i="2"/>
  <c r="G11" i="3"/>
  <c r="G123" i="2"/>
  <c r="E123" i="2"/>
  <c r="F123" i="2"/>
  <c r="H123" i="2" s="1"/>
  <c r="O128" i="8" l="1"/>
  <c r="C432" i="2" l="1"/>
  <c r="B432" i="2"/>
  <c r="D433" i="2" s="1"/>
  <c r="E433" i="2" s="1"/>
  <c r="A432" i="2"/>
  <c r="K434" i="2"/>
  <c r="M434" i="2" s="1"/>
  <c r="J434" i="2"/>
  <c r="K433" i="2"/>
  <c r="M433" i="2" s="1"/>
  <c r="J433" i="2"/>
  <c r="C420" i="2"/>
  <c r="B420" i="2"/>
  <c r="D421" i="2" s="1"/>
  <c r="E421" i="2" s="1"/>
  <c r="A420" i="2"/>
  <c r="K422" i="2"/>
  <c r="M422" i="2" s="1"/>
  <c r="J422" i="2"/>
  <c r="K421" i="2"/>
  <c r="M421" i="2" s="1"/>
  <c r="J421" i="2"/>
  <c r="C428" i="2"/>
  <c r="B428" i="2"/>
  <c r="D429" i="2" s="1"/>
  <c r="A428" i="2"/>
  <c r="K430" i="2"/>
  <c r="M430" i="2" s="1"/>
  <c r="J430" i="2"/>
  <c r="K429" i="2"/>
  <c r="M429" i="2" s="1"/>
  <c r="J429" i="2"/>
  <c r="K426" i="2"/>
  <c r="M426" i="2" s="1"/>
  <c r="J426" i="2"/>
  <c r="K425" i="2"/>
  <c r="M425" i="2" s="1"/>
  <c r="J425" i="2"/>
  <c r="C424" i="2"/>
  <c r="B424" i="2"/>
  <c r="D425" i="2" s="1"/>
  <c r="E425" i="2" s="1"/>
  <c r="A424" i="2"/>
  <c r="G63" i="3"/>
  <c r="G62" i="3"/>
  <c r="G80" i="3"/>
  <c r="G76" i="3"/>
  <c r="G153" i="3"/>
  <c r="G125" i="3"/>
  <c r="G150" i="3"/>
  <c r="C141" i="2"/>
  <c r="B141" i="2"/>
  <c r="D142" i="2" s="1"/>
  <c r="A141" i="2"/>
  <c r="K143" i="2"/>
  <c r="M143" i="2" s="1"/>
  <c r="J143" i="2"/>
  <c r="K142" i="2"/>
  <c r="M142" i="2" s="1"/>
  <c r="J142" i="2"/>
  <c r="C145" i="2"/>
  <c r="B145" i="2"/>
  <c r="D146" i="2" s="1"/>
  <c r="E146" i="2" s="1"/>
  <c r="A145" i="2"/>
  <c r="K147" i="2"/>
  <c r="M147" i="2" s="1"/>
  <c r="J147" i="2"/>
  <c r="K146" i="2"/>
  <c r="M146" i="2" s="1"/>
  <c r="J146" i="2"/>
  <c r="E445" i="2"/>
  <c r="C444" i="2"/>
  <c r="B444" i="2"/>
  <c r="A444" i="2"/>
  <c r="K446" i="2"/>
  <c r="M446" i="2" s="1"/>
  <c r="J446" i="2"/>
  <c r="E446" i="2"/>
  <c r="K445" i="2"/>
  <c r="M445" i="2" s="1"/>
  <c r="J445" i="2"/>
  <c r="E417" i="2"/>
  <c r="C416" i="2"/>
  <c r="B416" i="2"/>
  <c r="A416" i="2"/>
  <c r="K418" i="2"/>
  <c r="M418" i="2" s="1"/>
  <c r="J418" i="2"/>
  <c r="K417" i="2"/>
  <c r="M417" i="2" s="1"/>
  <c r="J417" i="2"/>
  <c r="G78" i="3"/>
  <c r="G99" i="3"/>
  <c r="G98" i="3"/>
  <c r="G135" i="3"/>
  <c r="G152" i="3"/>
  <c r="G143" i="3"/>
  <c r="G22" i="3"/>
  <c r="K506" i="2"/>
  <c r="M506" i="2" s="1"/>
  <c r="J506" i="2"/>
  <c r="K505" i="2"/>
  <c r="M505" i="2" s="1"/>
  <c r="J505" i="2"/>
  <c r="E506" i="2"/>
  <c r="E507" i="2"/>
  <c r="M432" i="2" l="1"/>
  <c r="M420" i="2"/>
  <c r="M428" i="2"/>
  <c r="F421" i="2"/>
  <c r="H421" i="2" s="1"/>
  <c r="H420" i="2" s="1"/>
  <c r="E429" i="2"/>
  <c r="F429" i="2"/>
  <c r="H429" i="2" s="1"/>
  <c r="H428" i="2" s="1"/>
  <c r="M424" i="2"/>
  <c r="M141" i="2"/>
  <c r="E142" i="2"/>
  <c r="F142" i="2"/>
  <c r="H142" i="2" s="1"/>
  <c r="H141" i="2" s="1"/>
  <c r="M145" i="2"/>
  <c r="M444" i="2"/>
  <c r="M416" i="2"/>
  <c r="M504" i="2"/>
  <c r="N428" i="2" l="1"/>
  <c r="N420" i="2"/>
  <c r="N141" i="2"/>
  <c r="C504" i="2" l="1"/>
  <c r="B504" i="2"/>
  <c r="A504" i="2"/>
  <c r="C491" i="2"/>
  <c r="B491" i="2"/>
  <c r="A491" i="2"/>
  <c r="K493" i="2"/>
  <c r="M493" i="2" s="1"/>
  <c r="J493" i="2"/>
  <c r="E493" i="2"/>
  <c r="K492" i="2"/>
  <c r="M492" i="2" s="1"/>
  <c r="J492" i="2"/>
  <c r="E492" i="2"/>
  <c r="P257" i="8"/>
  <c r="P258" i="8"/>
  <c r="C248" i="8"/>
  <c r="C249" i="8"/>
  <c r="C250" i="8"/>
  <c r="C487" i="2"/>
  <c r="B487" i="2"/>
  <c r="A487" i="2"/>
  <c r="K489" i="2"/>
  <c r="M489" i="2" s="1"/>
  <c r="J489" i="2"/>
  <c r="E489" i="2"/>
  <c r="K488" i="2"/>
  <c r="M488" i="2" s="1"/>
  <c r="J488" i="2"/>
  <c r="E488" i="2"/>
  <c r="C247" i="8"/>
  <c r="C464" i="2"/>
  <c r="B464" i="2"/>
  <c r="A464" i="2"/>
  <c r="C460" i="2"/>
  <c r="B460" i="2"/>
  <c r="A460" i="2"/>
  <c r="K466" i="2"/>
  <c r="M466" i="2" s="1"/>
  <c r="J466" i="2"/>
  <c r="K465" i="2"/>
  <c r="M465" i="2" s="1"/>
  <c r="J465" i="2"/>
  <c r="E465" i="2"/>
  <c r="K462" i="2"/>
  <c r="M462" i="2" s="1"/>
  <c r="J462" i="2"/>
  <c r="K461" i="2"/>
  <c r="M461" i="2" s="1"/>
  <c r="J461" i="2"/>
  <c r="G129" i="3"/>
  <c r="G130" i="3"/>
  <c r="C440" i="2"/>
  <c r="B440" i="2"/>
  <c r="A440" i="2"/>
  <c r="C436" i="2"/>
  <c r="B436" i="2"/>
  <c r="E437" i="2" s="1"/>
  <c r="A436" i="2"/>
  <c r="K442" i="2"/>
  <c r="M442" i="2" s="1"/>
  <c r="J442" i="2"/>
  <c r="K441" i="2"/>
  <c r="M441" i="2" s="1"/>
  <c r="J441" i="2"/>
  <c r="K438" i="2"/>
  <c r="M438" i="2" s="1"/>
  <c r="J438" i="2"/>
  <c r="K437" i="2"/>
  <c r="M437" i="2" s="1"/>
  <c r="J437" i="2"/>
  <c r="G131" i="3"/>
  <c r="F433" i="2" s="1"/>
  <c r="H433" i="2" s="1"/>
  <c r="H432" i="2" s="1"/>
  <c r="N432" i="2" s="1"/>
  <c r="G20" i="3"/>
  <c r="G42" i="3"/>
  <c r="G44" i="3"/>
  <c r="G45" i="3"/>
  <c r="C456" i="2"/>
  <c r="B456" i="2"/>
  <c r="E457" i="2" s="1"/>
  <c r="A456" i="2"/>
  <c r="K458" i="2"/>
  <c r="M458" i="2" s="1"/>
  <c r="J458" i="2"/>
  <c r="K457" i="2"/>
  <c r="M457" i="2" s="1"/>
  <c r="J457" i="2"/>
  <c r="C452" i="2"/>
  <c r="B452" i="2"/>
  <c r="E453" i="2" s="1"/>
  <c r="A452" i="2"/>
  <c r="K454" i="2"/>
  <c r="M454" i="2" s="1"/>
  <c r="J454" i="2"/>
  <c r="K453" i="2"/>
  <c r="M453" i="2" s="1"/>
  <c r="J453" i="2"/>
  <c r="C448" i="2"/>
  <c r="B448" i="2"/>
  <c r="E449" i="2" s="1"/>
  <c r="A448" i="2"/>
  <c r="K450" i="2"/>
  <c r="M450" i="2" s="1"/>
  <c r="J450" i="2"/>
  <c r="K449" i="2"/>
  <c r="M449" i="2" s="1"/>
  <c r="J449" i="2"/>
  <c r="G60" i="3"/>
  <c r="G34" i="3"/>
  <c r="F390" i="2" s="1"/>
  <c r="H390" i="2" s="1"/>
  <c r="G58" i="3"/>
  <c r="G54" i="3"/>
  <c r="G28" i="3"/>
  <c r="C396" i="2"/>
  <c r="B396" i="2"/>
  <c r="A396" i="2"/>
  <c r="K398" i="2"/>
  <c r="M398" i="2" s="1"/>
  <c r="J398" i="2"/>
  <c r="E398" i="2"/>
  <c r="K397" i="2"/>
  <c r="M397" i="2" s="1"/>
  <c r="J397" i="2"/>
  <c r="C392" i="2"/>
  <c r="B392" i="2"/>
  <c r="A392" i="2"/>
  <c r="C388" i="2"/>
  <c r="B388" i="2"/>
  <c r="E389" i="2" s="1"/>
  <c r="A388" i="2"/>
  <c r="K394" i="2"/>
  <c r="M394" i="2" s="1"/>
  <c r="J394" i="2"/>
  <c r="E394" i="2"/>
  <c r="K393" i="2"/>
  <c r="M393" i="2" s="1"/>
  <c r="J393" i="2"/>
  <c r="K390" i="2"/>
  <c r="M390" i="2" s="1"/>
  <c r="J390" i="2"/>
  <c r="E390" i="2"/>
  <c r="K389" i="2"/>
  <c r="M389" i="2" s="1"/>
  <c r="J389" i="2"/>
  <c r="C380" i="2"/>
  <c r="B380" i="2"/>
  <c r="A380" i="2"/>
  <c r="K382" i="2"/>
  <c r="M382" i="2" s="1"/>
  <c r="J382" i="2"/>
  <c r="E382" i="2"/>
  <c r="K381" i="2"/>
  <c r="M381" i="2" s="1"/>
  <c r="J381" i="2"/>
  <c r="C372" i="2"/>
  <c r="B372" i="2"/>
  <c r="A372" i="2"/>
  <c r="E244" i="2"/>
  <c r="C243" i="2"/>
  <c r="B243" i="2"/>
  <c r="A243" i="2"/>
  <c r="K245" i="2"/>
  <c r="M245" i="2" s="1"/>
  <c r="J245" i="2"/>
  <c r="E245" i="2"/>
  <c r="K244" i="2"/>
  <c r="M244" i="2" s="1"/>
  <c r="J244" i="2"/>
  <c r="C247" i="2"/>
  <c r="B247" i="2"/>
  <c r="A247" i="2"/>
  <c r="C223" i="2"/>
  <c r="B223" i="2"/>
  <c r="A223" i="2"/>
  <c r="K225" i="2"/>
  <c r="M225" i="2" s="1"/>
  <c r="J225" i="2"/>
  <c r="K224" i="2"/>
  <c r="M224" i="2" s="1"/>
  <c r="J224" i="2"/>
  <c r="C203" i="2"/>
  <c r="B203" i="2"/>
  <c r="A203" i="2"/>
  <c r="K205" i="2"/>
  <c r="M205" i="2" s="1"/>
  <c r="J205" i="2"/>
  <c r="E205" i="2"/>
  <c r="K204" i="2"/>
  <c r="M204" i="2" s="1"/>
  <c r="J204" i="2"/>
  <c r="E204" i="2"/>
  <c r="C239" i="2"/>
  <c r="B239" i="2"/>
  <c r="A239" i="2"/>
  <c r="K241" i="2"/>
  <c r="M241" i="2" s="1"/>
  <c r="J241" i="2"/>
  <c r="E241" i="2"/>
  <c r="K240" i="2"/>
  <c r="M240" i="2" s="1"/>
  <c r="J240" i="2"/>
  <c r="E240" i="2"/>
  <c r="C235" i="2"/>
  <c r="B235" i="2"/>
  <c r="A235" i="2"/>
  <c r="K237" i="2"/>
  <c r="M237" i="2" s="1"/>
  <c r="J237" i="2"/>
  <c r="E237" i="2"/>
  <c r="K236" i="2"/>
  <c r="M236" i="2" s="1"/>
  <c r="J236" i="2"/>
  <c r="E236" i="2"/>
  <c r="C219" i="2"/>
  <c r="B219" i="2"/>
  <c r="A219" i="2"/>
  <c r="K221" i="2"/>
  <c r="M221" i="2" s="1"/>
  <c r="J221" i="2"/>
  <c r="K220" i="2"/>
  <c r="M220" i="2" s="1"/>
  <c r="J220" i="2"/>
  <c r="E220" i="2"/>
  <c r="C270" i="2"/>
  <c r="B270" i="2"/>
  <c r="A270" i="2"/>
  <c r="K271" i="2"/>
  <c r="M271" i="2" s="1"/>
  <c r="M270" i="2" s="1"/>
  <c r="J271" i="2"/>
  <c r="K274" i="2"/>
  <c r="M274" i="2" s="1"/>
  <c r="M273" i="2" s="1"/>
  <c r="J274" i="2"/>
  <c r="C273" i="2"/>
  <c r="B273" i="2"/>
  <c r="A273" i="2"/>
  <c r="C267" i="2"/>
  <c r="B267" i="2"/>
  <c r="A267" i="2"/>
  <c r="K268" i="2"/>
  <c r="M268" i="2" s="1"/>
  <c r="M267" i="2" s="1"/>
  <c r="J268" i="2"/>
  <c r="C134" i="8"/>
  <c r="C133" i="8"/>
  <c r="C131" i="8"/>
  <c r="C156" i="8"/>
  <c r="C280" i="2"/>
  <c r="B280" i="2"/>
  <c r="A280" i="2"/>
  <c r="K281" i="2"/>
  <c r="M281" i="2" s="1"/>
  <c r="M280" i="2" s="1"/>
  <c r="J281" i="2"/>
  <c r="G49" i="3"/>
  <c r="G139" i="3"/>
  <c r="F240" i="2" s="1"/>
  <c r="H240" i="2" s="1"/>
  <c r="G149" i="3"/>
  <c r="G40" i="3"/>
  <c r="G92" i="3"/>
  <c r="G53" i="3"/>
  <c r="G32" i="3"/>
  <c r="F398" i="2" s="1"/>
  <c r="H398" i="2" s="1"/>
  <c r="G59" i="3"/>
  <c r="G33" i="3"/>
  <c r="C215" i="2"/>
  <c r="B215" i="2"/>
  <c r="A215" i="2"/>
  <c r="C127" i="8"/>
  <c r="C150" i="8" s="1"/>
  <c r="C179" i="2"/>
  <c r="B179" i="2"/>
  <c r="A179" i="2"/>
  <c r="K181" i="2"/>
  <c r="M181" i="2" s="1"/>
  <c r="J181" i="2"/>
  <c r="K180" i="2"/>
  <c r="M180" i="2" s="1"/>
  <c r="J180" i="2"/>
  <c r="C167" i="2"/>
  <c r="B167" i="2"/>
  <c r="E168" i="2" s="1"/>
  <c r="A167" i="2"/>
  <c r="K169" i="2"/>
  <c r="M169" i="2" s="1"/>
  <c r="J169" i="2"/>
  <c r="K168" i="2"/>
  <c r="M168" i="2" s="1"/>
  <c r="J168" i="2"/>
  <c r="C171" i="2"/>
  <c r="B171" i="2"/>
  <c r="A171" i="2"/>
  <c r="K173" i="2"/>
  <c r="M173" i="2" s="1"/>
  <c r="J173" i="2"/>
  <c r="K172" i="2"/>
  <c r="M172" i="2" s="1"/>
  <c r="J172" i="2"/>
  <c r="K177" i="2"/>
  <c r="M177" i="2" s="1"/>
  <c r="J177" i="2"/>
  <c r="K176" i="2"/>
  <c r="M176" i="2" s="1"/>
  <c r="J176" i="2"/>
  <c r="C175" i="2"/>
  <c r="B175" i="2"/>
  <c r="A175" i="2"/>
  <c r="C113" i="8"/>
  <c r="C112" i="8"/>
  <c r="C111" i="8"/>
  <c r="C110" i="8"/>
  <c r="C153" i="2"/>
  <c r="B153" i="2"/>
  <c r="A153" i="2"/>
  <c r="K155" i="2"/>
  <c r="M155" i="2" s="1"/>
  <c r="J155" i="2"/>
  <c r="K154" i="2"/>
  <c r="M154" i="2" s="1"/>
  <c r="J154" i="2"/>
  <c r="E154" i="2"/>
  <c r="C99" i="8"/>
  <c r="C149" i="2"/>
  <c r="B149" i="2"/>
  <c r="A149" i="2"/>
  <c r="K151" i="2"/>
  <c r="M151" i="2" s="1"/>
  <c r="J151" i="2"/>
  <c r="K150" i="2"/>
  <c r="M150" i="2" s="1"/>
  <c r="J150" i="2"/>
  <c r="E150" i="2"/>
  <c r="C98" i="8"/>
  <c r="G96" i="3"/>
  <c r="G97" i="3"/>
  <c r="F146" i="2" s="1"/>
  <c r="H146" i="2" s="1"/>
  <c r="H145" i="2" s="1"/>
  <c r="N145" i="2" s="1"/>
  <c r="G65" i="3"/>
  <c r="F150" i="2" s="1"/>
  <c r="H150" i="2" s="1"/>
  <c r="H149" i="2" s="1"/>
  <c r="G64" i="3"/>
  <c r="G121" i="3"/>
  <c r="G123" i="3"/>
  <c r="G122" i="3"/>
  <c r="G124" i="3"/>
  <c r="G91" i="3"/>
  <c r="G94" i="3"/>
  <c r="C137" i="2"/>
  <c r="B137" i="2"/>
  <c r="A137" i="2"/>
  <c r="K139" i="2"/>
  <c r="M139" i="2" s="1"/>
  <c r="J139" i="2"/>
  <c r="K138" i="2"/>
  <c r="M138" i="2" s="1"/>
  <c r="J138" i="2"/>
  <c r="K135" i="2"/>
  <c r="M135" i="2" s="1"/>
  <c r="J135" i="2"/>
  <c r="K134" i="2"/>
  <c r="M134" i="2" s="1"/>
  <c r="J134" i="2"/>
  <c r="C133" i="2"/>
  <c r="B133" i="2"/>
  <c r="A133" i="2"/>
  <c r="K43" i="8"/>
  <c r="L43" i="8" s="1"/>
  <c r="J42" i="8"/>
  <c r="K42" i="8"/>
  <c r="I42" i="8"/>
  <c r="L42" i="8" s="1"/>
  <c r="J39" i="8"/>
  <c r="I39" i="8"/>
  <c r="I37" i="8"/>
  <c r="J37" i="8"/>
  <c r="K37" i="8"/>
  <c r="L39" i="8" l="1"/>
  <c r="L37" i="8"/>
  <c r="M39" i="8"/>
  <c r="M43" i="8"/>
  <c r="F134" i="2"/>
  <c r="H134" i="2" s="1"/>
  <c r="H133" i="2" s="1"/>
  <c r="F154" i="2"/>
  <c r="H154" i="2" s="1"/>
  <c r="H153" i="2" s="1"/>
  <c r="F425" i="2"/>
  <c r="H425" i="2" s="1"/>
  <c r="H424" i="2" s="1"/>
  <c r="N424" i="2" s="1"/>
  <c r="M491" i="2"/>
  <c r="F507" i="2"/>
  <c r="H507" i="2" s="1"/>
  <c r="F506" i="2"/>
  <c r="H506" i="2" s="1"/>
  <c r="F493" i="2"/>
  <c r="H493" i="2" s="1"/>
  <c r="M487" i="2"/>
  <c r="M464" i="2"/>
  <c r="M460" i="2"/>
  <c r="F465" i="2"/>
  <c r="H465" i="2" s="1"/>
  <c r="H464" i="2" s="1"/>
  <c r="E461" i="2"/>
  <c r="F461" i="2"/>
  <c r="H461" i="2" s="1"/>
  <c r="H460" i="2" s="1"/>
  <c r="M456" i="2"/>
  <c r="M436" i="2"/>
  <c r="E441" i="2"/>
  <c r="F441" i="2"/>
  <c r="H441" i="2" s="1"/>
  <c r="H440" i="2" s="1"/>
  <c r="M440" i="2"/>
  <c r="F457" i="2"/>
  <c r="H457" i="2" s="1"/>
  <c r="H456" i="2" s="1"/>
  <c r="M448" i="2"/>
  <c r="M452" i="2"/>
  <c r="M243" i="2"/>
  <c r="M380" i="2"/>
  <c r="F394" i="2"/>
  <c r="H394" i="2" s="1"/>
  <c r="M388" i="2"/>
  <c r="M396" i="2"/>
  <c r="M392" i="2"/>
  <c r="F381" i="2"/>
  <c r="H381" i="2" s="1"/>
  <c r="F397" i="2"/>
  <c r="H397" i="2" s="1"/>
  <c r="H396" i="2" s="1"/>
  <c r="E397" i="2"/>
  <c r="F389" i="2"/>
  <c r="H389" i="2" s="1"/>
  <c r="H388" i="2" s="1"/>
  <c r="F393" i="2"/>
  <c r="H393" i="2" s="1"/>
  <c r="E393" i="2"/>
  <c r="E381" i="2"/>
  <c r="F382" i="2"/>
  <c r="H382" i="2" s="1"/>
  <c r="M239" i="2"/>
  <c r="M203" i="2"/>
  <c r="F205" i="2"/>
  <c r="H205" i="2" s="1"/>
  <c r="M223" i="2"/>
  <c r="N223" i="2" s="1"/>
  <c r="N273" i="2"/>
  <c r="F236" i="2"/>
  <c r="H236" i="2" s="1"/>
  <c r="M235" i="2"/>
  <c r="M219" i="2"/>
  <c r="N270" i="2"/>
  <c r="N267" i="2"/>
  <c r="N280" i="2"/>
  <c r="M179" i="2"/>
  <c r="E180" i="2"/>
  <c r="F180" i="2"/>
  <c r="H180" i="2" s="1"/>
  <c r="H179" i="2" s="1"/>
  <c r="M167" i="2"/>
  <c r="M171" i="2"/>
  <c r="F168" i="2"/>
  <c r="H168" i="2" s="1"/>
  <c r="H167" i="2" s="1"/>
  <c r="E176" i="2"/>
  <c r="F176" i="2"/>
  <c r="H176" i="2" s="1"/>
  <c r="H175" i="2" s="1"/>
  <c r="E172" i="2"/>
  <c r="F172" i="2"/>
  <c r="H172" i="2" s="1"/>
  <c r="H171" i="2" s="1"/>
  <c r="M175" i="2"/>
  <c r="M133" i="2"/>
  <c r="M153" i="2"/>
  <c r="M149" i="2"/>
  <c r="N149" i="2" s="1"/>
  <c r="E138" i="2"/>
  <c r="F138" i="2"/>
  <c r="H138" i="2" s="1"/>
  <c r="H137" i="2" s="1"/>
  <c r="M137" i="2"/>
  <c r="E134" i="2"/>
  <c r="M42" i="8" l="1"/>
  <c r="M37" i="8"/>
  <c r="N464" i="2"/>
  <c r="N153" i="2"/>
  <c r="N460" i="2"/>
  <c r="H392" i="2"/>
  <c r="N392" i="2" s="1"/>
  <c r="N440" i="2"/>
  <c r="N456" i="2"/>
  <c r="N396" i="2"/>
  <c r="N388" i="2"/>
  <c r="H380" i="2"/>
  <c r="N380" i="2" s="1"/>
  <c r="N171" i="2"/>
  <c r="N179" i="2"/>
  <c r="N175" i="2"/>
  <c r="N167" i="2"/>
  <c r="N133" i="2"/>
  <c r="N137" i="2"/>
  <c r="C343" i="2" l="1"/>
  <c r="B343" i="2"/>
  <c r="A343" i="2"/>
  <c r="K344" i="2"/>
  <c r="M344" i="2" s="1"/>
  <c r="J344" i="2"/>
  <c r="C332" i="2"/>
  <c r="B332" i="2"/>
  <c r="A332" i="2"/>
  <c r="E336" i="2"/>
  <c r="E335" i="2"/>
  <c r="K334" i="2"/>
  <c r="M334" i="2" s="1"/>
  <c r="J334" i="2"/>
  <c r="E334" i="2"/>
  <c r="K333" i="2"/>
  <c r="M333" i="2" s="1"/>
  <c r="J333" i="2"/>
  <c r="E333" i="2"/>
  <c r="A338" i="2"/>
  <c r="B338" i="2"/>
  <c r="C338" i="2"/>
  <c r="E339" i="2"/>
  <c r="J339" i="2"/>
  <c r="K339" i="2"/>
  <c r="M339" i="2" s="1"/>
  <c r="E340" i="2"/>
  <c r="J340" i="2"/>
  <c r="K340" i="2"/>
  <c r="M340" i="2" s="1"/>
  <c r="E341" i="2"/>
  <c r="A346" i="2"/>
  <c r="B346" i="2"/>
  <c r="C346" i="2"/>
  <c r="G105" i="3"/>
  <c r="F130" i="2" s="1"/>
  <c r="H130" i="2" s="1"/>
  <c r="G36" i="3"/>
  <c r="F300" i="2" s="1"/>
  <c r="H300" i="2" s="1"/>
  <c r="G119" i="3"/>
  <c r="F333" i="2" s="1"/>
  <c r="H333" i="2" s="1"/>
  <c r="G141" i="3"/>
  <c r="G120" i="3"/>
  <c r="G126" i="3"/>
  <c r="G127" i="3"/>
  <c r="F339" i="2" s="1"/>
  <c r="H339" i="2" s="1"/>
  <c r="C294" i="2"/>
  <c r="B294" i="2"/>
  <c r="A294" i="2"/>
  <c r="E300" i="2"/>
  <c r="E299" i="2"/>
  <c r="E298" i="2"/>
  <c r="E297" i="2"/>
  <c r="K296" i="2"/>
  <c r="M296" i="2" s="1"/>
  <c r="J296" i="2"/>
  <c r="E296" i="2"/>
  <c r="K295" i="2"/>
  <c r="M295" i="2" s="1"/>
  <c r="J295" i="2"/>
  <c r="E295" i="2"/>
  <c r="C195" i="8"/>
  <c r="C182" i="8"/>
  <c r="C129" i="2"/>
  <c r="B129" i="2"/>
  <c r="A129" i="2"/>
  <c r="K131" i="2"/>
  <c r="M131" i="2" s="1"/>
  <c r="J131" i="2"/>
  <c r="E131" i="2"/>
  <c r="K130" i="2"/>
  <c r="M130" i="2" s="1"/>
  <c r="J130" i="2"/>
  <c r="E130" i="2"/>
  <c r="C77" i="8"/>
  <c r="G13" i="3"/>
  <c r="C106" i="2"/>
  <c r="B106" i="2"/>
  <c r="K107" i="2"/>
  <c r="M107" i="2" s="1"/>
  <c r="M106" i="2" s="1"/>
  <c r="J107" i="2"/>
  <c r="C58" i="8"/>
  <c r="A106" i="2" s="1"/>
  <c r="P55" i="8"/>
  <c r="P54" i="8"/>
  <c r="I27" i="8"/>
  <c r="J27" i="8"/>
  <c r="K27" i="8"/>
  <c r="P29" i="8"/>
  <c r="C18" i="8"/>
  <c r="C58" i="2"/>
  <c r="B58" i="2"/>
  <c r="A58" i="2"/>
  <c r="K59" i="2"/>
  <c r="M59" i="2" s="1"/>
  <c r="M58" i="2" s="1"/>
  <c r="N58" i="2" s="1"/>
  <c r="J59" i="2"/>
  <c r="C55" i="2"/>
  <c r="B55" i="2"/>
  <c r="A55" i="2"/>
  <c r="K56" i="2"/>
  <c r="M56" i="2" s="1"/>
  <c r="M55" i="2" s="1"/>
  <c r="J56" i="2"/>
  <c r="C16" i="8"/>
  <c r="K13" i="8"/>
  <c r="I13" i="8"/>
  <c r="P17" i="8"/>
  <c r="P13" i="8"/>
  <c r="P12" i="8"/>
  <c r="L27" i="8" l="1"/>
  <c r="M27" i="8" s="1"/>
  <c r="L13" i="8"/>
  <c r="M13" i="8" s="1"/>
  <c r="Q55" i="8"/>
  <c r="Q26" i="8"/>
  <c r="Q54" i="8"/>
  <c r="Q29" i="8"/>
  <c r="Q15" i="8"/>
  <c r="Q12" i="8"/>
  <c r="M129" i="2"/>
  <c r="S54" i="8"/>
  <c r="F344" i="2"/>
  <c r="H344" i="2" s="1"/>
  <c r="H343" i="2" s="1"/>
  <c r="E344" i="2"/>
  <c r="M343" i="2"/>
  <c r="M332" i="2"/>
  <c r="M338" i="2"/>
  <c r="M294" i="2"/>
  <c r="E107" i="2"/>
  <c r="F107" i="2"/>
  <c r="H107" i="2" s="1"/>
  <c r="H106" i="2" s="1"/>
  <c r="N106" i="2" s="1"/>
  <c r="S29" i="8"/>
  <c r="S55" i="8"/>
  <c r="R54" i="8"/>
  <c r="R55" i="8"/>
  <c r="R29" i="8"/>
  <c r="R12" i="8"/>
  <c r="N55" i="2"/>
  <c r="S12" i="8"/>
  <c r="D20" i="6"/>
  <c r="Q27" i="8" l="1"/>
  <c r="Q13" i="8"/>
  <c r="Q17" i="8"/>
  <c r="N343" i="2"/>
  <c r="R17" i="8"/>
  <c r="R13" i="8"/>
  <c r="S17" i="8"/>
  <c r="S13" i="8"/>
  <c r="M260" i="8"/>
  <c r="C213" i="8" l="1"/>
  <c r="C214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8" i="8"/>
  <c r="P193" i="8"/>
  <c r="P197" i="8"/>
  <c r="R197" i="8"/>
  <c r="R193" i="8"/>
  <c r="Q185" i="8"/>
  <c r="Q187" i="8"/>
  <c r="Q188" i="8"/>
  <c r="Q196" i="8"/>
  <c r="Q199" i="8"/>
  <c r="Q200" i="8"/>
  <c r="Q201" i="8"/>
  <c r="Q202" i="8"/>
  <c r="C192" i="8"/>
  <c r="R178" i="8"/>
  <c r="Q176" i="8"/>
  <c r="Q172" i="8"/>
  <c r="Q171" i="8"/>
  <c r="Q161" i="8"/>
  <c r="Q162" i="8"/>
  <c r="R163" i="8"/>
  <c r="Q164" i="8"/>
  <c r="Q165" i="8"/>
  <c r="Q166" i="8"/>
  <c r="Q167" i="8"/>
  <c r="Q168" i="8"/>
  <c r="Q170" i="8"/>
  <c r="Q173" i="8"/>
  <c r="Q174" i="8"/>
  <c r="R175" i="8"/>
  <c r="Q177" i="8"/>
  <c r="Q179" i="8"/>
  <c r="Q142" i="8"/>
  <c r="P143" i="8"/>
  <c r="S143" i="8" s="1"/>
  <c r="Q143" i="8"/>
  <c r="R143" i="8"/>
  <c r="Q144" i="8"/>
  <c r="Q148" i="8"/>
  <c r="P151" i="8"/>
  <c r="S151" i="8" s="1"/>
  <c r="Q151" i="8"/>
  <c r="R151" i="8"/>
  <c r="P152" i="8"/>
  <c r="S152" i="8" s="1"/>
  <c r="Q152" i="8"/>
  <c r="R152" i="8"/>
  <c r="P153" i="8"/>
  <c r="S153" i="8" s="1"/>
  <c r="Q153" i="8"/>
  <c r="R153" i="8"/>
  <c r="C155" i="8"/>
  <c r="C132" i="8" s="1"/>
  <c r="C139" i="8"/>
  <c r="C141" i="8"/>
  <c r="C140" i="8"/>
  <c r="P128" i="8"/>
  <c r="S128" i="8" s="1"/>
  <c r="Q128" i="8"/>
  <c r="R128" i="8"/>
  <c r="C135" i="8"/>
  <c r="C130" i="8"/>
  <c r="C129" i="8"/>
  <c r="C123" i="8"/>
  <c r="C137" i="8" s="1"/>
  <c r="C122" i="8"/>
  <c r="C121" i="8"/>
  <c r="P106" i="8"/>
  <c r="S106" i="8" s="1"/>
  <c r="Q106" i="8"/>
  <c r="R106" i="8"/>
  <c r="Q100" i="8"/>
  <c r="Q101" i="8"/>
  <c r="Q102" i="8"/>
  <c r="Q103" i="8"/>
  <c r="C97" i="8"/>
  <c r="C96" i="8"/>
  <c r="P95" i="8"/>
  <c r="S95" i="8" s="1"/>
  <c r="P94" i="8"/>
  <c r="S94" i="8" s="1"/>
  <c r="P93" i="8"/>
  <c r="S93" i="8" s="1"/>
  <c r="R92" i="8"/>
  <c r="R91" i="8"/>
  <c r="P90" i="8"/>
  <c r="S90" i="8" s="1"/>
  <c r="R89" i="8"/>
  <c r="R87" i="8"/>
  <c r="R86" i="8"/>
  <c r="R85" i="8"/>
  <c r="Q85" i="8"/>
  <c r="Q86" i="8"/>
  <c r="Q87" i="8"/>
  <c r="Q88" i="8"/>
  <c r="Q89" i="8"/>
  <c r="Q90" i="8"/>
  <c r="Q91" i="8"/>
  <c r="Q92" i="8"/>
  <c r="Q93" i="8"/>
  <c r="Q94" i="8"/>
  <c r="Q95" i="8"/>
  <c r="R174" i="8" l="1"/>
  <c r="R171" i="8"/>
  <c r="S176" i="8"/>
  <c r="R170" i="8"/>
  <c r="R162" i="8"/>
  <c r="R166" i="8"/>
  <c r="R179" i="8"/>
  <c r="S173" i="8"/>
  <c r="R167" i="8"/>
  <c r="S179" i="8"/>
  <c r="S175" i="8"/>
  <c r="S172" i="8"/>
  <c r="S167" i="8"/>
  <c r="S164" i="8"/>
  <c r="S177" i="8"/>
  <c r="S171" i="8"/>
  <c r="S168" i="8"/>
  <c r="S169" i="8"/>
  <c r="Q193" i="8"/>
  <c r="S188" i="8"/>
  <c r="Q197" i="8"/>
  <c r="S193" i="8"/>
  <c r="S163" i="8"/>
  <c r="S197" i="8"/>
  <c r="S161" i="8"/>
  <c r="Q178" i="8"/>
  <c r="R177" i="8"/>
  <c r="Q175" i="8"/>
  <c r="R173" i="8"/>
  <c r="R169" i="8"/>
  <c r="R165" i="8"/>
  <c r="Q163" i="8"/>
  <c r="R161" i="8"/>
  <c r="S165" i="8"/>
  <c r="R188" i="8"/>
  <c r="S178" i="8"/>
  <c r="R176" i="8"/>
  <c r="S174" i="8"/>
  <c r="R172" i="8"/>
  <c r="S170" i="8"/>
  <c r="Q169" i="8"/>
  <c r="R168" i="8"/>
  <c r="S166" i="8"/>
  <c r="R164" i="8"/>
  <c r="S162" i="8"/>
  <c r="P89" i="8"/>
  <c r="S89" i="8" s="1"/>
  <c r="P86" i="8"/>
  <c r="S86" i="8" s="1"/>
  <c r="R94" i="8"/>
  <c r="R93" i="8"/>
  <c r="R95" i="8"/>
  <c r="P91" i="8"/>
  <c r="S91" i="8" s="1"/>
  <c r="P87" i="8"/>
  <c r="S87" i="8" s="1"/>
  <c r="P85" i="8"/>
  <c r="S85" i="8" s="1"/>
  <c r="P92" i="8"/>
  <c r="S92" i="8" s="1"/>
  <c r="R90" i="8"/>
  <c r="G10" i="3" l="1"/>
  <c r="F131" i="2" s="1"/>
  <c r="H131" i="2" s="1"/>
  <c r="H129" i="2" s="1"/>
  <c r="N129" i="2" s="1"/>
  <c r="G12" i="3"/>
  <c r="F295" i="2" s="1"/>
  <c r="H295" i="2" s="1"/>
  <c r="G14" i="3"/>
  <c r="F220" i="2" s="1"/>
  <c r="H220" i="2" s="1"/>
  <c r="H219" i="2" s="1"/>
  <c r="N219" i="2" s="1"/>
  <c r="G15" i="3"/>
  <c r="G16" i="3"/>
  <c r="G17" i="3"/>
  <c r="G18" i="3"/>
  <c r="G19" i="3"/>
  <c r="G21" i="3"/>
  <c r="G23" i="3"/>
  <c r="F445" i="2" s="1"/>
  <c r="H445" i="2" s="1"/>
  <c r="G24" i="3"/>
  <c r="G26" i="3"/>
  <c r="G27" i="3"/>
  <c r="G29" i="3"/>
  <c r="F378" i="2" s="1"/>
  <c r="H378" i="2" s="1"/>
  <c r="H376" i="2" s="1"/>
  <c r="G30" i="3"/>
  <c r="G31" i="3"/>
  <c r="G35" i="3"/>
  <c r="G38" i="3"/>
  <c r="G39" i="3"/>
  <c r="G25" i="3"/>
  <c r="G41" i="3"/>
  <c r="G43" i="3"/>
  <c r="G46" i="3"/>
  <c r="G47" i="3"/>
  <c r="G48" i="3"/>
  <c r="F453" i="2" s="1"/>
  <c r="H453" i="2" s="1"/>
  <c r="H452" i="2" s="1"/>
  <c r="N452" i="2" s="1"/>
  <c r="G50" i="3"/>
  <c r="G52" i="3"/>
  <c r="G55" i="3"/>
  <c r="G56" i="3"/>
  <c r="G57" i="3"/>
  <c r="G61" i="3"/>
  <c r="G66" i="3"/>
  <c r="G68" i="3"/>
  <c r="G69" i="3"/>
  <c r="G70" i="3"/>
  <c r="G71" i="3"/>
  <c r="G72" i="3"/>
  <c r="G73" i="3"/>
  <c r="F446" i="2" s="1"/>
  <c r="H446" i="2" s="1"/>
  <c r="G74" i="3"/>
  <c r="G77" i="3"/>
  <c r="G79" i="3"/>
  <c r="G81" i="3"/>
  <c r="G83" i="3"/>
  <c r="G84" i="3"/>
  <c r="G85" i="3"/>
  <c r="G86" i="3"/>
  <c r="G88" i="3"/>
  <c r="G89" i="3"/>
  <c r="G90" i="3"/>
  <c r="G95" i="3"/>
  <c r="G100" i="3"/>
  <c r="F489" i="2" s="1"/>
  <c r="H489" i="2" s="1"/>
  <c r="G75" i="3"/>
  <c r="F84" i="2" s="1"/>
  <c r="H84" i="2" s="1"/>
  <c r="H83" i="2" s="1"/>
  <c r="G101" i="3"/>
  <c r="G102" i="3"/>
  <c r="G103" i="3"/>
  <c r="G104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28" i="3"/>
  <c r="G136" i="3"/>
  <c r="G137" i="3"/>
  <c r="G138" i="3"/>
  <c r="F204" i="2" s="1"/>
  <c r="H204" i="2" s="1"/>
  <c r="H203" i="2" s="1"/>
  <c r="N203" i="2" s="1"/>
  <c r="G140" i="3"/>
  <c r="G144" i="3"/>
  <c r="G145" i="3"/>
  <c r="G146" i="3"/>
  <c r="G147" i="3"/>
  <c r="G148" i="3"/>
  <c r="G151" i="3"/>
  <c r="G154" i="3"/>
  <c r="G155" i="3"/>
  <c r="F91" i="2" s="1"/>
  <c r="H91" i="2" s="1"/>
  <c r="H90" i="2" s="1"/>
  <c r="C483" i="2"/>
  <c r="B483" i="2"/>
  <c r="A483" i="2"/>
  <c r="G87" i="3"/>
  <c r="C495" i="2"/>
  <c r="B495" i="2"/>
  <c r="A495" i="2"/>
  <c r="C246" i="8"/>
  <c r="K95" i="2"/>
  <c r="M95" i="2" s="1"/>
  <c r="J95" i="2"/>
  <c r="K94" i="2"/>
  <c r="M94" i="2" s="1"/>
  <c r="J94" i="2"/>
  <c r="C93" i="2"/>
  <c r="B93" i="2"/>
  <c r="A93" i="2"/>
  <c r="C43" i="8"/>
  <c r="C90" i="2"/>
  <c r="B90" i="2"/>
  <c r="A90" i="2"/>
  <c r="K91" i="2"/>
  <c r="M91" i="2" s="1"/>
  <c r="J91" i="2"/>
  <c r="E91" i="2"/>
  <c r="C83" i="2"/>
  <c r="B83" i="2"/>
  <c r="A83" i="2"/>
  <c r="K85" i="2"/>
  <c r="M85" i="2" s="1"/>
  <c r="J85" i="2"/>
  <c r="K84" i="2"/>
  <c r="M84" i="2" s="1"/>
  <c r="J84" i="2"/>
  <c r="E84" i="2"/>
  <c r="C40" i="8"/>
  <c r="C87" i="2"/>
  <c r="B87" i="2"/>
  <c r="A87" i="2"/>
  <c r="K88" i="2"/>
  <c r="M88" i="2" s="1"/>
  <c r="J88" i="2"/>
  <c r="E88" i="2"/>
  <c r="C79" i="2"/>
  <c r="B79" i="2"/>
  <c r="A79" i="2"/>
  <c r="K81" i="2"/>
  <c r="M81" i="2" s="1"/>
  <c r="J81" i="2"/>
  <c r="K80" i="2"/>
  <c r="M80" i="2" s="1"/>
  <c r="J80" i="2"/>
  <c r="E80" i="2"/>
  <c r="E69" i="2"/>
  <c r="E73" i="2"/>
  <c r="E77" i="2"/>
  <c r="C75" i="2"/>
  <c r="B75" i="2"/>
  <c r="A75" i="2"/>
  <c r="K77" i="2"/>
  <c r="M77" i="2" s="1"/>
  <c r="J77" i="2"/>
  <c r="K76" i="2"/>
  <c r="M76" i="2" s="1"/>
  <c r="J76" i="2"/>
  <c r="E76" i="2"/>
  <c r="C71" i="2"/>
  <c r="B71" i="2"/>
  <c r="A71" i="2"/>
  <c r="K73" i="2"/>
  <c r="M73" i="2" s="1"/>
  <c r="J73" i="2"/>
  <c r="K72" i="2"/>
  <c r="M72" i="2" s="1"/>
  <c r="J72" i="2"/>
  <c r="J69" i="2"/>
  <c r="K69" i="2"/>
  <c r="M69" i="2" s="1"/>
  <c r="J68" i="2"/>
  <c r="K68" i="2"/>
  <c r="M68" i="2" s="1"/>
  <c r="C67" i="2"/>
  <c r="B67" i="2"/>
  <c r="A67" i="2"/>
  <c r="C42" i="8"/>
  <c r="C35" i="8"/>
  <c r="C36" i="8"/>
  <c r="C37" i="8"/>
  <c r="C41" i="8"/>
  <c r="C34" i="8"/>
  <c r="G132" i="3"/>
  <c r="O15" i="8"/>
  <c r="O14" i="8"/>
  <c r="P14" i="8" s="1"/>
  <c r="Q14" i="8"/>
  <c r="N376" i="2" l="1"/>
  <c r="H444" i="2"/>
  <c r="N444" i="2" s="1"/>
  <c r="F417" i="2"/>
  <c r="H417" i="2" s="1"/>
  <c r="H416" i="2" s="1"/>
  <c r="N416" i="2" s="1"/>
  <c r="F488" i="2"/>
  <c r="H488" i="2" s="1"/>
  <c r="H487" i="2" s="1"/>
  <c r="N487" i="2" s="1"/>
  <c r="F492" i="2"/>
  <c r="H492" i="2" s="1"/>
  <c r="H491" i="2" s="1"/>
  <c r="N491" i="2" s="1"/>
  <c r="F449" i="2"/>
  <c r="H449" i="2" s="1"/>
  <c r="H448" i="2" s="1"/>
  <c r="N448" i="2" s="1"/>
  <c r="F437" i="2"/>
  <c r="H437" i="2" s="1"/>
  <c r="H436" i="2" s="1"/>
  <c r="N436" i="2" s="1"/>
  <c r="F241" i="2"/>
  <c r="H241" i="2" s="1"/>
  <c r="H239" i="2" s="1"/>
  <c r="N239" i="2" s="1"/>
  <c r="F237" i="2"/>
  <c r="H237" i="2" s="1"/>
  <c r="H235" i="2" s="1"/>
  <c r="N235" i="2" s="1"/>
  <c r="F335" i="2"/>
  <c r="H335" i="2" s="1"/>
  <c r="F298" i="2"/>
  <c r="H298" i="2" s="1"/>
  <c r="F340" i="2"/>
  <c r="H340" i="2" s="1"/>
  <c r="F297" i="2"/>
  <c r="H297" i="2" s="1"/>
  <c r="F334" i="2"/>
  <c r="H334" i="2" s="1"/>
  <c r="F336" i="2"/>
  <c r="H336" i="2" s="1"/>
  <c r="F299" i="2"/>
  <c r="H299" i="2" s="1"/>
  <c r="F341" i="2"/>
  <c r="H341" i="2" s="1"/>
  <c r="F296" i="2"/>
  <c r="H296" i="2" s="1"/>
  <c r="P15" i="8"/>
  <c r="S15" i="8" s="1"/>
  <c r="R15" i="8"/>
  <c r="F505" i="2"/>
  <c r="H505" i="2" s="1"/>
  <c r="H504" i="2" s="1"/>
  <c r="E505" i="2"/>
  <c r="M93" i="2"/>
  <c r="F94" i="2"/>
  <c r="H94" i="2" s="1"/>
  <c r="H93" i="2" s="1"/>
  <c r="E94" i="2"/>
  <c r="M90" i="2"/>
  <c r="N90" i="2" s="1"/>
  <c r="M83" i="2"/>
  <c r="N83" i="2" s="1"/>
  <c r="M87" i="2"/>
  <c r="M79" i="2"/>
  <c r="M75" i="2"/>
  <c r="M71" i="2"/>
  <c r="E72" i="2"/>
  <c r="M67" i="2"/>
  <c r="E68" i="2"/>
  <c r="S14" i="8"/>
  <c r="R14" i="8"/>
  <c r="N504" i="2" l="1"/>
  <c r="H332" i="2"/>
  <c r="N332" i="2" s="1"/>
  <c r="H338" i="2"/>
  <c r="N338" i="2" s="1"/>
  <c r="H294" i="2"/>
  <c r="N294" i="2" s="1"/>
  <c r="P26" i="8"/>
  <c r="S26" i="8" s="1"/>
  <c r="R26" i="8"/>
  <c r="P27" i="8"/>
  <c r="S27" i="8" s="1"/>
  <c r="R27" i="8"/>
  <c r="N93" i="2"/>
  <c r="K217" i="2"/>
  <c r="M217" i="2" s="1"/>
  <c r="J217" i="2"/>
  <c r="K216" i="2"/>
  <c r="M216" i="2" s="1"/>
  <c r="J216" i="2"/>
  <c r="E216" i="2"/>
  <c r="E349" i="2"/>
  <c r="E350" i="2"/>
  <c r="K348" i="2"/>
  <c r="M348" i="2" s="1"/>
  <c r="J348" i="2"/>
  <c r="E348" i="2"/>
  <c r="K347" i="2"/>
  <c r="M347" i="2" s="1"/>
  <c r="J347" i="2"/>
  <c r="E347" i="2"/>
  <c r="E330" i="2"/>
  <c r="E329" i="2"/>
  <c r="E328" i="2"/>
  <c r="C326" i="2"/>
  <c r="B326" i="2"/>
  <c r="A326" i="2"/>
  <c r="K328" i="2"/>
  <c r="M328" i="2" s="1"/>
  <c r="J328" i="2"/>
  <c r="K327" i="2"/>
  <c r="M327" i="2" s="1"/>
  <c r="J327" i="2"/>
  <c r="E327" i="2"/>
  <c r="C320" i="2"/>
  <c r="B320" i="2"/>
  <c r="A320" i="2"/>
  <c r="E324" i="2"/>
  <c r="E323" i="2"/>
  <c r="K322" i="2"/>
  <c r="M322" i="2" s="1"/>
  <c r="J322" i="2"/>
  <c r="E322" i="2"/>
  <c r="K321" i="2"/>
  <c r="M321" i="2" s="1"/>
  <c r="J321" i="2"/>
  <c r="E321" i="2"/>
  <c r="C306" i="2"/>
  <c r="B306" i="2"/>
  <c r="A306" i="2"/>
  <c r="K308" i="2"/>
  <c r="M308" i="2" s="1"/>
  <c r="J308" i="2"/>
  <c r="K307" i="2"/>
  <c r="M307" i="2" s="1"/>
  <c r="J307" i="2"/>
  <c r="E307" i="2"/>
  <c r="F307" i="2"/>
  <c r="H307" i="2" s="1"/>
  <c r="H306" i="2" s="1"/>
  <c r="F321" i="2"/>
  <c r="H321" i="2" s="1"/>
  <c r="F327" i="2"/>
  <c r="H327" i="2" s="1"/>
  <c r="F347" i="2"/>
  <c r="H347" i="2" s="1"/>
  <c r="F216" i="2"/>
  <c r="H216" i="2" s="1"/>
  <c r="H215" i="2" s="1"/>
  <c r="F68" i="2"/>
  <c r="H68" i="2" s="1"/>
  <c r="F72" i="2"/>
  <c r="H72" i="2" s="1"/>
  <c r="F76" i="2"/>
  <c r="H76" i="2" s="1"/>
  <c r="C310" i="2"/>
  <c r="B310" i="2"/>
  <c r="A310" i="2"/>
  <c r="K312" i="2"/>
  <c r="M312" i="2" s="1"/>
  <c r="J312" i="2"/>
  <c r="K311" i="2"/>
  <c r="M311" i="2" s="1"/>
  <c r="J311" i="2"/>
  <c r="F311" i="2"/>
  <c r="H311" i="2" s="1"/>
  <c r="E311" i="2"/>
  <c r="E318" i="2"/>
  <c r="E317" i="2"/>
  <c r="K316" i="2"/>
  <c r="M316" i="2" s="1"/>
  <c r="J316" i="2"/>
  <c r="E316" i="2"/>
  <c r="K315" i="2"/>
  <c r="M315" i="2" s="1"/>
  <c r="J315" i="2"/>
  <c r="E315" i="2"/>
  <c r="C314" i="2"/>
  <c r="B314" i="2"/>
  <c r="A314" i="2"/>
  <c r="C302" i="2"/>
  <c r="B302" i="2"/>
  <c r="A302" i="2"/>
  <c r="K304" i="2"/>
  <c r="M304" i="2" s="1"/>
  <c r="J304" i="2"/>
  <c r="K303" i="2"/>
  <c r="M303" i="2" s="1"/>
  <c r="J303" i="2"/>
  <c r="E303" i="2"/>
  <c r="C286" i="2"/>
  <c r="B286" i="2"/>
  <c r="A286" i="2"/>
  <c r="F349" i="2"/>
  <c r="H349" i="2" s="1"/>
  <c r="F328" i="2"/>
  <c r="H328" i="2" s="1"/>
  <c r="F303" i="2"/>
  <c r="H303" i="2" s="1"/>
  <c r="H302" i="2" s="1"/>
  <c r="C181" i="8"/>
  <c r="C183" i="8"/>
  <c r="C184" i="8"/>
  <c r="C186" i="8"/>
  <c r="C189" i="8"/>
  <c r="C190" i="8"/>
  <c r="C191" i="8"/>
  <c r="C194" i="8"/>
  <c r="C198" i="8"/>
  <c r="M346" i="2" l="1"/>
  <c r="P199" i="8"/>
  <c r="S199" i="8" s="1"/>
  <c r="R199" i="8"/>
  <c r="R185" i="8"/>
  <c r="P185" i="8"/>
  <c r="S185" i="8" s="1"/>
  <c r="P200" i="8"/>
  <c r="S200" i="8" s="1"/>
  <c r="R200" i="8"/>
  <c r="P187" i="8"/>
  <c r="S187" i="8" s="1"/>
  <c r="R187" i="8"/>
  <c r="R201" i="8"/>
  <c r="P201" i="8"/>
  <c r="S201" i="8" s="1"/>
  <c r="P196" i="8"/>
  <c r="S196" i="8" s="1"/>
  <c r="R196" i="8"/>
  <c r="P202" i="8"/>
  <c r="S202" i="8" s="1"/>
  <c r="R202" i="8"/>
  <c r="F316" i="2"/>
  <c r="H316" i="2" s="1"/>
  <c r="F317" i="2"/>
  <c r="H317" i="2" s="1"/>
  <c r="F318" i="2"/>
  <c r="H318" i="2" s="1"/>
  <c r="F322" i="2"/>
  <c r="H322" i="2" s="1"/>
  <c r="F323" i="2"/>
  <c r="H323" i="2" s="1"/>
  <c r="F348" i="2"/>
  <c r="H348" i="2" s="1"/>
  <c r="F350" i="2"/>
  <c r="H350" i="2" s="1"/>
  <c r="F324" i="2"/>
  <c r="H324" i="2" s="1"/>
  <c r="M215" i="2"/>
  <c r="M326" i="2"/>
  <c r="M320" i="2"/>
  <c r="M306" i="2"/>
  <c r="N306" i="2" s="1"/>
  <c r="M310" i="2"/>
  <c r="H310" i="2"/>
  <c r="M314" i="2"/>
  <c r="M302" i="2"/>
  <c r="N302" i="2" s="1"/>
  <c r="P78" i="8"/>
  <c r="R160" i="8"/>
  <c r="Q160" i="8"/>
  <c r="P160" i="8"/>
  <c r="S160" i="8" s="1"/>
  <c r="P125" i="8"/>
  <c r="S125" i="8" s="1"/>
  <c r="Q125" i="8"/>
  <c r="R125" i="8"/>
  <c r="N215" i="2" l="1"/>
  <c r="H346" i="2"/>
  <c r="N346" i="2" s="1"/>
  <c r="R148" i="8"/>
  <c r="P148" i="8"/>
  <c r="S148" i="8" s="1"/>
  <c r="R142" i="8"/>
  <c r="P142" i="8"/>
  <c r="S142" i="8" s="1"/>
  <c r="R144" i="8"/>
  <c r="P144" i="8"/>
  <c r="S144" i="8" s="1"/>
  <c r="R100" i="8"/>
  <c r="P100" i="8"/>
  <c r="S100" i="8" s="1"/>
  <c r="P101" i="8"/>
  <c r="S101" i="8" s="1"/>
  <c r="R101" i="8"/>
  <c r="P102" i="8"/>
  <c r="S102" i="8" s="1"/>
  <c r="R102" i="8"/>
  <c r="P103" i="8"/>
  <c r="S103" i="8" s="1"/>
  <c r="R103" i="8"/>
  <c r="R88" i="8"/>
  <c r="P88" i="8"/>
  <c r="S88" i="8" s="1"/>
  <c r="H320" i="2"/>
  <c r="N320" i="2" s="1"/>
  <c r="N310" i="2"/>
  <c r="R159" i="8"/>
  <c r="Q159" i="8"/>
  <c r="S159" i="8"/>
  <c r="C16" i="9" l="1"/>
  <c r="C18" i="10" l="1"/>
  <c r="D18" i="10"/>
  <c r="C30" i="10"/>
  <c r="D30" i="10"/>
  <c r="C37" i="10"/>
  <c r="D37" i="10"/>
  <c r="C41" i="10"/>
  <c r="D41" i="10"/>
  <c r="E500" i="2"/>
  <c r="K485" i="2"/>
  <c r="M485" i="2" s="1"/>
  <c r="J485" i="2"/>
  <c r="K484" i="2"/>
  <c r="M484" i="2" s="1"/>
  <c r="J484" i="2"/>
  <c r="E484" i="2"/>
  <c r="E501" i="2"/>
  <c r="E502" i="2"/>
  <c r="E499" i="2"/>
  <c r="E498" i="2"/>
  <c r="E497" i="2"/>
  <c r="K497" i="2"/>
  <c r="M497" i="2" s="1"/>
  <c r="J497" i="2"/>
  <c r="K496" i="2"/>
  <c r="M496" i="2" s="1"/>
  <c r="J496" i="2"/>
  <c r="E496" i="2"/>
  <c r="L365" i="2"/>
  <c r="L366" i="2" s="1"/>
  <c r="F497" i="2"/>
  <c r="H497" i="2" s="1"/>
  <c r="F496" i="2"/>
  <c r="H496" i="2" s="1"/>
  <c r="F498" i="2"/>
  <c r="H498" i="2" s="1"/>
  <c r="F500" i="2"/>
  <c r="H500" i="2" s="1"/>
  <c r="C364" i="2"/>
  <c r="B364" i="2"/>
  <c r="A364" i="2"/>
  <c r="K366" i="2"/>
  <c r="J366" i="2"/>
  <c r="K365" i="2"/>
  <c r="J365" i="2"/>
  <c r="E365" i="2"/>
  <c r="E358" i="2"/>
  <c r="E359" i="2"/>
  <c r="E360" i="2"/>
  <c r="E361" i="2"/>
  <c r="E362" i="2"/>
  <c r="C356" i="2"/>
  <c r="B356" i="2"/>
  <c r="A356" i="2"/>
  <c r="K358" i="2"/>
  <c r="M358" i="2" s="1"/>
  <c r="J358" i="2"/>
  <c r="K357" i="2"/>
  <c r="M357" i="2" s="1"/>
  <c r="J357" i="2"/>
  <c r="E357" i="2"/>
  <c r="E410" i="2"/>
  <c r="E406" i="2"/>
  <c r="F406" i="2"/>
  <c r="H406" i="2" s="1"/>
  <c r="F357" i="2"/>
  <c r="H357" i="2" s="1"/>
  <c r="F358" i="2"/>
  <c r="H358" i="2" s="1"/>
  <c r="F359" i="2"/>
  <c r="H359" i="2" s="1"/>
  <c r="F360" i="2"/>
  <c r="H360" i="2" s="1"/>
  <c r="F361" i="2"/>
  <c r="H361" i="2" s="1"/>
  <c r="F362" i="2"/>
  <c r="H362" i="2" s="1"/>
  <c r="E386" i="2"/>
  <c r="E374" i="2"/>
  <c r="E370" i="2"/>
  <c r="C468" i="2"/>
  <c r="C472" i="2"/>
  <c r="B472" i="2"/>
  <c r="E473" i="2" s="1"/>
  <c r="A472" i="2"/>
  <c r="K474" i="2"/>
  <c r="M474" i="2" s="1"/>
  <c r="J474" i="2"/>
  <c r="K473" i="2"/>
  <c r="M473" i="2" s="1"/>
  <c r="J473" i="2"/>
  <c r="M495" i="2" l="1"/>
  <c r="G82" i="3"/>
  <c r="F365" i="2" s="1"/>
  <c r="H365" i="2" s="1"/>
  <c r="H364" i="2" s="1"/>
  <c r="F499" i="2"/>
  <c r="H499" i="2" s="1"/>
  <c r="F502" i="2"/>
  <c r="H502" i="2" s="1"/>
  <c r="D42" i="10"/>
  <c r="C42" i="10"/>
  <c r="F410" i="2"/>
  <c r="H410" i="2" s="1"/>
  <c r="F484" i="2"/>
  <c r="H484" i="2" s="1"/>
  <c r="E485" i="2"/>
  <c r="M366" i="2"/>
  <c r="M483" i="2"/>
  <c r="M365" i="2"/>
  <c r="H356" i="2"/>
  <c r="M356" i="2"/>
  <c r="M472" i="2"/>
  <c r="B468" i="2"/>
  <c r="A468" i="2"/>
  <c r="K470" i="2"/>
  <c r="M470" i="2" s="1"/>
  <c r="J470" i="2"/>
  <c r="K469" i="2"/>
  <c r="M469" i="2" s="1"/>
  <c r="J469" i="2"/>
  <c r="C412" i="2"/>
  <c r="B412" i="2"/>
  <c r="A412" i="2"/>
  <c r="C408" i="2"/>
  <c r="B408" i="2"/>
  <c r="A408" i="2"/>
  <c r="K414" i="2"/>
  <c r="M414" i="2" s="1"/>
  <c r="J414" i="2"/>
  <c r="K413" i="2"/>
  <c r="M413" i="2" s="1"/>
  <c r="J413" i="2"/>
  <c r="K410" i="2"/>
  <c r="M410" i="2" s="1"/>
  <c r="J410" i="2"/>
  <c r="K409" i="2"/>
  <c r="M409" i="2" s="1"/>
  <c r="J409" i="2"/>
  <c r="C404" i="2"/>
  <c r="B404" i="2"/>
  <c r="A404" i="2"/>
  <c r="K406" i="2"/>
  <c r="M406" i="2" s="1"/>
  <c r="J406" i="2"/>
  <c r="K405" i="2"/>
  <c r="M405" i="2" s="1"/>
  <c r="J405" i="2"/>
  <c r="C384" i="2"/>
  <c r="B384" i="2"/>
  <c r="A384" i="2"/>
  <c r="K386" i="2"/>
  <c r="M386" i="2" s="1"/>
  <c r="J386" i="2"/>
  <c r="K385" i="2"/>
  <c r="M385" i="2" s="1"/>
  <c r="J385" i="2"/>
  <c r="K374" i="2"/>
  <c r="M374" i="2" s="1"/>
  <c r="J374" i="2"/>
  <c r="K373" i="2"/>
  <c r="M373" i="2" s="1"/>
  <c r="J373" i="2"/>
  <c r="K402" i="2"/>
  <c r="M402" i="2" s="1"/>
  <c r="J402" i="2"/>
  <c r="K401" i="2"/>
  <c r="M401" i="2" s="1"/>
  <c r="J401" i="2"/>
  <c r="C400" i="2"/>
  <c r="B400" i="2"/>
  <c r="A400" i="2"/>
  <c r="C368" i="2"/>
  <c r="B368" i="2"/>
  <c r="A368" i="2"/>
  <c r="K370" i="2"/>
  <c r="M370" i="2" s="1"/>
  <c r="J370" i="2"/>
  <c r="K369" i="2"/>
  <c r="M369" i="2" s="1"/>
  <c r="J369" i="2"/>
  <c r="A276" i="2"/>
  <c r="B276" i="2"/>
  <c r="C276" i="2"/>
  <c r="J277" i="2"/>
  <c r="K277" i="2"/>
  <c r="M277" i="2" s="1"/>
  <c r="J278" i="2"/>
  <c r="K278" i="2"/>
  <c r="M278" i="2" s="1"/>
  <c r="C480" i="2"/>
  <c r="B480" i="2"/>
  <c r="A480" i="2"/>
  <c r="K481" i="2"/>
  <c r="M481" i="2" s="1"/>
  <c r="M480" i="2" s="1"/>
  <c r="J481" i="2"/>
  <c r="C476" i="2"/>
  <c r="B476" i="2"/>
  <c r="A476" i="2"/>
  <c r="K478" i="2"/>
  <c r="M478" i="2" s="1"/>
  <c r="J478" i="2"/>
  <c r="K477" i="2"/>
  <c r="M477" i="2" s="1"/>
  <c r="J477" i="2"/>
  <c r="C352" i="2"/>
  <c r="B352" i="2"/>
  <c r="A352" i="2"/>
  <c r="K354" i="2"/>
  <c r="M354" i="2" s="1"/>
  <c r="J354" i="2"/>
  <c r="K353" i="2"/>
  <c r="M353" i="2" s="1"/>
  <c r="J353" i="2"/>
  <c r="F88" i="2"/>
  <c r="H88" i="2" s="1"/>
  <c r="H87" i="2" s="1"/>
  <c r="E292" i="2"/>
  <c r="E289" i="2"/>
  <c r="E290" i="2"/>
  <c r="E291" i="2"/>
  <c r="F330" i="2"/>
  <c r="H330" i="2" s="1"/>
  <c r="F329" i="2"/>
  <c r="H329" i="2" s="1"/>
  <c r="F485" i="2"/>
  <c r="H485" i="2" s="1"/>
  <c r="F473" i="2"/>
  <c r="H473" i="2" s="1"/>
  <c r="H472" i="2" s="1"/>
  <c r="E288" i="2"/>
  <c r="F288" i="2"/>
  <c r="H288" i="2" s="1"/>
  <c r="K288" i="2"/>
  <c r="M288" i="2" s="1"/>
  <c r="J288" i="2"/>
  <c r="K287" i="2"/>
  <c r="M287" i="2" s="1"/>
  <c r="J287" i="2"/>
  <c r="E287" i="2"/>
  <c r="C283" i="2"/>
  <c r="B283" i="2"/>
  <c r="A283" i="2"/>
  <c r="K284" i="2"/>
  <c r="M284" i="2" s="1"/>
  <c r="M283" i="2" s="1"/>
  <c r="J284" i="2"/>
  <c r="C263" i="2"/>
  <c r="B263" i="2"/>
  <c r="A263" i="2"/>
  <c r="K265" i="2"/>
  <c r="M265" i="2" s="1"/>
  <c r="J265" i="2"/>
  <c r="K264" i="2"/>
  <c r="M264" i="2" s="1"/>
  <c r="J264" i="2"/>
  <c r="E264" i="2"/>
  <c r="G142" i="3"/>
  <c r="F245" i="2" s="1"/>
  <c r="H245" i="2" s="1"/>
  <c r="G37" i="3"/>
  <c r="F244" i="2" s="1"/>
  <c r="H244" i="2" s="1"/>
  <c r="E253" i="2"/>
  <c r="E252" i="2"/>
  <c r="C251" i="2"/>
  <c r="B251" i="2"/>
  <c r="A251" i="2"/>
  <c r="K253" i="2"/>
  <c r="M253" i="2" s="1"/>
  <c r="J253" i="2"/>
  <c r="K252" i="2"/>
  <c r="M252" i="2" s="1"/>
  <c r="J252" i="2"/>
  <c r="E249" i="2"/>
  <c r="K249" i="2"/>
  <c r="M249" i="2" s="1"/>
  <c r="J249" i="2"/>
  <c r="K248" i="2"/>
  <c r="M248" i="2" s="1"/>
  <c r="J248" i="2"/>
  <c r="E248" i="2"/>
  <c r="E228" i="2"/>
  <c r="C227" i="2"/>
  <c r="B227" i="2"/>
  <c r="A227" i="2"/>
  <c r="K229" i="2"/>
  <c r="M229" i="2" s="1"/>
  <c r="J229" i="2"/>
  <c r="K228" i="2"/>
  <c r="M228" i="2" s="1"/>
  <c r="J228" i="2"/>
  <c r="K233" i="2"/>
  <c r="M233" i="2" s="1"/>
  <c r="J233" i="2"/>
  <c r="K232" i="2"/>
  <c r="M232" i="2" s="1"/>
  <c r="J232" i="2"/>
  <c r="E232" i="2"/>
  <c r="C231" i="2"/>
  <c r="B231" i="2"/>
  <c r="A231" i="2"/>
  <c r="G9" i="3"/>
  <c r="F228" i="2" s="1"/>
  <c r="H228" i="2" s="1"/>
  <c r="H227" i="2" s="1"/>
  <c r="F232" i="2"/>
  <c r="H232" i="2" s="1"/>
  <c r="H231" i="2" s="1"/>
  <c r="F252" i="2"/>
  <c r="H252" i="2" s="1"/>
  <c r="F264" i="2"/>
  <c r="H264" i="2" s="1"/>
  <c r="H263" i="2" s="1"/>
  <c r="C211" i="2"/>
  <c r="B211" i="2"/>
  <c r="E212" i="2" s="1"/>
  <c r="A211" i="2"/>
  <c r="K213" i="2"/>
  <c r="M213" i="2" s="1"/>
  <c r="J213" i="2"/>
  <c r="K212" i="2"/>
  <c r="M212" i="2" s="1"/>
  <c r="J212" i="2"/>
  <c r="F249" i="2" l="1"/>
  <c r="H249" i="2" s="1"/>
  <c r="F248" i="2"/>
  <c r="H248" i="2" s="1"/>
  <c r="H243" i="2"/>
  <c r="N243" i="2" s="1"/>
  <c r="H326" i="2"/>
  <c r="N326" i="2" s="1"/>
  <c r="F290" i="2"/>
  <c r="H290" i="2" s="1"/>
  <c r="F69" i="2"/>
  <c r="H69" i="2" s="1"/>
  <c r="H67" i="2" s="1"/>
  <c r="N67" i="2" s="1"/>
  <c r="F73" i="2"/>
  <c r="H73" i="2" s="1"/>
  <c r="H71" i="2" s="1"/>
  <c r="N71" i="2" s="1"/>
  <c r="F77" i="2"/>
  <c r="H77" i="2" s="1"/>
  <c r="H75" i="2" s="1"/>
  <c r="N75" i="2" s="1"/>
  <c r="F287" i="2"/>
  <c r="H287" i="2" s="1"/>
  <c r="F292" i="2"/>
  <c r="H292" i="2" s="1"/>
  <c r="F315" i="2"/>
  <c r="H315" i="2" s="1"/>
  <c r="H314" i="2" s="1"/>
  <c r="N314" i="2" s="1"/>
  <c r="F501" i="2"/>
  <c r="H501" i="2" s="1"/>
  <c r="H495" i="2" s="1"/>
  <c r="N87" i="2"/>
  <c r="F289" i="2"/>
  <c r="H289" i="2" s="1"/>
  <c r="F80" i="2"/>
  <c r="H80" i="2" s="1"/>
  <c r="F291" i="2"/>
  <c r="H291" i="2" s="1"/>
  <c r="N472" i="2"/>
  <c r="M364" i="2"/>
  <c r="N364" i="2" s="1"/>
  <c r="H483" i="2"/>
  <c r="F370" i="2"/>
  <c r="H370" i="2" s="1"/>
  <c r="N356" i="2"/>
  <c r="F374" i="2"/>
  <c r="H374" i="2" s="1"/>
  <c r="F386" i="2"/>
  <c r="H386" i="2" s="1"/>
  <c r="M468" i="2"/>
  <c r="E469" i="2"/>
  <c r="F469" i="2"/>
  <c r="H469" i="2" s="1"/>
  <c r="H468" i="2" s="1"/>
  <c r="M408" i="2"/>
  <c r="M412" i="2"/>
  <c r="E409" i="2"/>
  <c r="F409" i="2"/>
  <c r="H409" i="2" s="1"/>
  <c r="H408" i="2" s="1"/>
  <c r="E413" i="2"/>
  <c r="F413" i="2"/>
  <c r="H413" i="2" s="1"/>
  <c r="H412" i="2" s="1"/>
  <c r="M404" i="2"/>
  <c r="E405" i="2"/>
  <c r="F405" i="2"/>
  <c r="H405" i="2" s="1"/>
  <c r="H404" i="2" s="1"/>
  <c r="M384" i="2"/>
  <c r="E385" i="2"/>
  <c r="F385" i="2"/>
  <c r="H385" i="2" s="1"/>
  <c r="M372" i="2"/>
  <c r="E373" i="2"/>
  <c r="F373" i="2"/>
  <c r="H373" i="2" s="1"/>
  <c r="M400" i="2"/>
  <c r="E401" i="2"/>
  <c r="F401" i="2"/>
  <c r="H401" i="2" s="1"/>
  <c r="H400" i="2" s="1"/>
  <c r="F369" i="2"/>
  <c r="H369" i="2" s="1"/>
  <c r="E369" i="2"/>
  <c r="M368" i="2"/>
  <c r="M276" i="2"/>
  <c r="N480" i="2"/>
  <c r="M476" i="2"/>
  <c r="N476" i="2" s="1"/>
  <c r="M352" i="2"/>
  <c r="M286" i="2"/>
  <c r="N283" i="2"/>
  <c r="M263" i="2"/>
  <c r="N263" i="2" s="1"/>
  <c r="M251" i="2"/>
  <c r="F253" i="2"/>
  <c r="H253" i="2" s="1"/>
  <c r="H251" i="2" s="1"/>
  <c r="M247" i="2"/>
  <c r="M211" i="2"/>
  <c r="M227" i="2"/>
  <c r="N227" i="2" s="1"/>
  <c r="M231" i="2"/>
  <c r="N231" i="2" s="1"/>
  <c r="H247" i="2" l="1"/>
  <c r="N247" i="2" s="1"/>
  <c r="N495" i="2"/>
  <c r="N483" i="2"/>
  <c r="H79" i="2"/>
  <c r="N79" i="2" s="1"/>
  <c r="H368" i="2"/>
  <c r="N368" i="2" s="1"/>
  <c r="H384" i="2"/>
  <c r="N408" i="2"/>
  <c r="H372" i="2"/>
  <c r="N404" i="2"/>
  <c r="N412" i="2"/>
  <c r="N468" i="2"/>
  <c r="N400" i="2"/>
  <c r="N352" i="2"/>
  <c r="H286" i="2"/>
  <c r="N286" i="2" s="1"/>
  <c r="N251" i="2"/>
  <c r="N384" i="2" l="1"/>
  <c r="N372" i="2"/>
  <c r="E201" i="2"/>
  <c r="C199" i="2"/>
  <c r="B199" i="2"/>
  <c r="A199" i="2"/>
  <c r="K201" i="2"/>
  <c r="M201" i="2" s="1"/>
  <c r="J201" i="2"/>
  <c r="K200" i="2"/>
  <c r="M200" i="2" s="1"/>
  <c r="J200" i="2"/>
  <c r="E200" i="2"/>
  <c r="C195" i="2"/>
  <c r="B195" i="2"/>
  <c r="A195" i="2"/>
  <c r="K197" i="2"/>
  <c r="M197" i="2" s="1"/>
  <c r="J197" i="2"/>
  <c r="K196" i="2"/>
  <c r="M196" i="2" s="1"/>
  <c r="J196" i="2"/>
  <c r="E196" i="2"/>
  <c r="C191" i="2"/>
  <c r="B191" i="2"/>
  <c r="A191" i="2"/>
  <c r="A187" i="2"/>
  <c r="K193" i="2"/>
  <c r="M193" i="2" s="1"/>
  <c r="J193" i="2"/>
  <c r="K192" i="2"/>
  <c r="M192" i="2" s="1"/>
  <c r="J192" i="2"/>
  <c r="E192" i="2"/>
  <c r="K185" i="2"/>
  <c r="M185" i="2" s="1"/>
  <c r="J185" i="2"/>
  <c r="K184" i="2"/>
  <c r="M184" i="2" s="1"/>
  <c r="J184" i="2"/>
  <c r="C183" i="2"/>
  <c r="B183" i="2"/>
  <c r="E184" i="2" s="1"/>
  <c r="A183" i="2"/>
  <c r="M195" i="2" l="1"/>
  <c r="M199" i="2"/>
  <c r="M191" i="2"/>
  <c r="M183" i="2"/>
  <c r="C163" i="2"/>
  <c r="B163" i="2"/>
  <c r="A163" i="2"/>
  <c r="K165" i="2"/>
  <c r="M165" i="2" s="1"/>
  <c r="J165" i="2"/>
  <c r="K164" i="2"/>
  <c r="M164" i="2" s="1"/>
  <c r="J164" i="2"/>
  <c r="F160" i="2"/>
  <c r="H160" i="2" s="1"/>
  <c r="F184" i="2"/>
  <c r="H184" i="2" s="1"/>
  <c r="H183" i="2" s="1"/>
  <c r="F192" i="2"/>
  <c r="H192" i="2" s="1"/>
  <c r="H191" i="2" s="1"/>
  <c r="F196" i="2"/>
  <c r="H196" i="2" s="1"/>
  <c r="H195" i="2" s="1"/>
  <c r="F200" i="2"/>
  <c r="H200" i="2" s="1"/>
  <c r="F212" i="2"/>
  <c r="H212" i="2" s="1"/>
  <c r="H211" i="2" s="1"/>
  <c r="L159" i="2"/>
  <c r="L158" i="2"/>
  <c r="K159" i="2"/>
  <c r="J159" i="2"/>
  <c r="E159" i="2"/>
  <c r="E160" i="2"/>
  <c r="E161" i="2"/>
  <c r="F161" i="2"/>
  <c r="H161" i="2" s="1"/>
  <c r="C157" i="2"/>
  <c r="B157" i="2"/>
  <c r="E158" i="2" s="1"/>
  <c r="A157" i="2"/>
  <c r="K158" i="2"/>
  <c r="J158" i="2"/>
  <c r="E127" i="2"/>
  <c r="G133" i="3"/>
  <c r="C125" i="2"/>
  <c r="B125" i="2"/>
  <c r="A125" i="2"/>
  <c r="K127" i="2"/>
  <c r="M127" i="2" s="1"/>
  <c r="J127" i="2"/>
  <c r="K126" i="2"/>
  <c r="M126" i="2" s="1"/>
  <c r="J126" i="2"/>
  <c r="E126" i="2"/>
  <c r="C121" i="2"/>
  <c r="B121" i="2"/>
  <c r="A121" i="2"/>
  <c r="K123" i="2"/>
  <c r="M123" i="2" s="1"/>
  <c r="J123" i="2"/>
  <c r="K122" i="2"/>
  <c r="M122" i="2" s="1"/>
  <c r="J122" i="2"/>
  <c r="E122" i="2"/>
  <c r="G118" i="2"/>
  <c r="G93" i="3"/>
  <c r="C117" i="2"/>
  <c r="B117" i="2"/>
  <c r="A117" i="2"/>
  <c r="K119" i="2"/>
  <c r="M119" i="2" s="1"/>
  <c r="J119" i="2"/>
  <c r="K118" i="2"/>
  <c r="M118" i="2" s="1"/>
  <c r="J118" i="2"/>
  <c r="E118" i="2"/>
  <c r="E111" i="2"/>
  <c r="C109" i="2"/>
  <c r="B109" i="2"/>
  <c r="A109" i="2"/>
  <c r="K111" i="2"/>
  <c r="M111" i="2" s="1"/>
  <c r="J111" i="2"/>
  <c r="K110" i="2"/>
  <c r="M110" i="2" s="1"/>
  <c r="J110" i="2"/>
  <c r="E110" i="2"/>
  <c r="K115" i="2"/>
  <c r="M115" i="2" s="1"/>
  <c r="J115" i="2"/>
  <c r="N191" i="2" l="1"/>
  <c r="N195" i="2"/>
  <c r="F201" i="2"/>
  <c r="H201" i="2" s="1"/>
  <c r="H199" i="2" s="1"/>
  <c r="N199" i="2" s="1"/>
  <c r="M158" i="2"/>
  <c r="N211" i="2"/>
  <c r="N183" i="2"/>
  <c r="M163" i="2"/>
  <c r="F164" i="2"/>
  <c r="H164" i="2" s="1"/>
  <c r="H163" i="2" s="1"/>
  <c r="E164" i="2"/>
  <c r="M159" i="2"/>
  <c r="M125" i="2"/>
  <c r="M121" i="2"/>
  <c r="M117" i="2"/>
  <c r="M109" i="2"/>
  <c r="N276" i="2" l="1"/>
  <c r="M157" i="2"/>
  <c r="N163" i="2"/>
  <c r="C113" i="2" l="1"/>
  <c r="B113" i="2"/>
  <c r="A113" i="2"/>
  <c r="E115" i="2"/>
  <c r="K114" i="2"/>
  <c r="M114" i="2" s="1"/>
  <c r="M113" i="2" s="1"/>
  <c r="J114" i="2"/>
  <c r="E114" i="2"/>
  <c r="E104" i="2"/>
  <c r="E103" i="2"/>
  <c r="F102" i="2"/>
  <c r="H102" i="2" s="1"/>
  <c r="F103" i="2"/>
  <c r="H103" i="2" s="1"/>
  <c r="F104" i="2"/>
  <c r="H104" i="2" s="1"/>
  <c r="F111" i="2"/>
  <c r="H111" i="2" s="1"/>
  <c r="F115" i="2"/>
  <c r="H115" i="2" s="1"/>
  <c r="F110" i="2"/>
  <c r="H110" i="2" s="1"/>
  <c r="F118" i="2"/>
  <c r="H118" i="2" s="1"/>
  <c r="F122" i="2"/>
  <c r="H122" i="2" s="1"/>
  <c r="F126" i="2"/>
  <c r="H126" i="2" s="1"/>
  <c r="F158" i="2"/>
  <c r="H158" i="2" s="1"/>
  <c r="F159" i="2"/>
  <c r="H159" i="2" s="1"/>
  <c r="E101" i="2"/>
  <c r="C100" i="2"/>
  <c r="B100" i="2"/>
  <c r="A100" i="2"/>
  <c r="K102" i="2"/>
  <c r="M102" i="2" s="1"/>
  <c r="J102" i="2"/>
  <c r="E102" i="2"/>
  <c r="K101" i="2"/>
  <c r="M101" i="2" s="1"/>
  <c r="J101" i="2"/>
  <c r="H121" i="2" l="1"/>
  <c r="N121" i="2" s="1"/>
  <c r="F127" i="2"/>
  <c r="H127" i="2" s="1"/>
  <c r="H125" i="2" s="1"/>
  <c r="N125" i="2" s="1"/>
  <c r="F114" i="2"/>
  <c r="H114" i="2" s="1"/>
  <c r="H113" i="2" s="1"/>
  <c r="H157" i="2"/>
  <c r="N157" i="2" s="1"/>
  <c r="H117" i="2"/>
  <c r="N117" i="2" s="1"/>
  <c r="H109" i="2"/>
  <c r="N109" i="2" s="1"/>
  <c r="M100" i="2"/>
  <c r="F101" i="2"/>
  <c r="H101" i="2" s="1"/>
  <c r="H100" i="2" s="1"/>
  <c r="N113" i="2" l="1"/>
  <c r="N100" i="2"/>
  <c r="C97" i="2"/>
  <c r="B97" i="2"/>
  <c r="A97" i="2"/>
  <c r="E208" i="2"/>
  <c r="C207" i="2"/>
  <c r="B207" i="2"/>
  <c r="A207" i="2"/>
  <c r="K209" i="2"/>
  <c r="M209" i="2" s="1"/>
  <c r="J209" i="2"/>
  <c r="K208" i="2"/>
  <c r="M208" i="2" s="1"/>
  <c r="J208" i="2"/>
  <c r="C15" i="7"/>
  <c r="C16" i="7"/>
  <c r="G12" i="1"/>
  <c r="G14" i="1"/>
  <c r="C509" i="2"/>
  <c r="B509" i="2"/>
  <c r="A509" i="2"/>
  <c r="C259" i="8"/>
  <c r="C27" i="7"/>
  <c r="C26" i="7"/>
  <c r="C212" i="8"/>
  <c r="C211" i="8"/>
  <c r="C210" i="8"/>
  <c r="P206" i="8"/>
  <c r="R206" i="8"/>
  <c r="R205" i="8" s="1"/>
  <c r="P204" i="8"/>
  <c r="R204" i="8"/>
  <c r="R203" i="8" s="1"/>
  <c r="C154" i="8"/>
  <c r="C259" i="2"/>
  <c r="B259" i="2"/>
  <c r="A259" i="2"/>
  <c r="K261" i="2"/>
  <c r="M261" i="2" s="1"/>
  <c r="J261" i="2"/>
  <c r="K260" i="2"/>
  <c r="M260" i="2" s="1"/>
  <c r="J260" i="2"/>
  <c r="E260" i="2"/>
  <c r="K257" i="2"/>
  <c r="M257" i="2" s="1"/>
  <c r="J257" i="2"/>
  <c r="K256" i="2"/>
  <c r="M256" i="2" s="1"/>
  <c r="J256" i="2"/>
  <c r="C255" i="2"/>
  <c r="B255" i="2"/>
  <c r="A255" i="2"/>
  <c r="C146" i="8"/>
  <c r="C145" i="8"/>
  <c r="C157" i="8"/>
  <c r="C138" i="8"/>
  <c r="C126" i="8"/>
  <c r="C149" i="8" s="1"/>
  <c r="C124" i="8"/>
  <c r="C147" i="8" s="1"/>
  <c r="C107" i="8"/>
  <c r="C120" i="8"/>
  <c r="C119" i="8"/>
  <c r="C118" i="8"/>
  <c r="E189" i="2"/>
  <c r="C187" i="2"/>
  <c r="B187" i="2"/>
  <c r="C117" i="8"/>
  <c r="C115" i="8"/>
  <c r="C108" i="8"/>
  <c r="P105" i="8"/>
  <c r="S105" i="8" s="1"/>
  <c r="R104" i="8"/>
  <c r="C61" i="2"/>
  <c r="B61" i="2"/>
  <c r="A61" i="2"/>
  <c r="C19" i="8"/>
  <c r="R84" i="8"/>
  <c r="P83" i="8"/>
  <c r="S83" i="8" s="1"/>
  <c r="Q83" i="8"/>
  <c r="Q84" i="8"/>
  <c r="Q104" i="8"/>
  <c r="Q105" i="8"/>
  <c r="P114" i="8"/>
  <c r="S114" i="8" s="1"/>
  <c r="Q114" i="8"/>
  <c r="R114" i="8"/>
  <c r="P116" i="8"/>
  <c r="S116" i="8" s="1"/>
  <c r="Q116" i="8"/>
  <c r="R116" i="8"/>
  <c r="E98" i="2" l="1"/>
  <c r="M207" i="2"/>
  <c r="M259" i="2"/>
  <c r="S206" i="8"/>
  <c r="S205" i="8" s="1"/>
  <c r="D27" i="7" s="1"/>
  <c r="Q206" i="8"/>
  <c r="Q205" i="8" s="1"/>
  <c r="Q204" i="8"/>
  <c r="Q203" i="8" s="1"/>
  <c r="S204" i="8"/>
  <c r="S203" i="8" s="1"/>
  <c r="D26" i="7" s="1"/>
  <c r="M255" i="2"/>
  <c r="R105" i="8"/>
  <c r="P104" i="8"/>
  <c r="S104" i="8" s="1"/>
  <c r="P84" i="8"/>
  <c r="S84" i="8" s="1"/>
  <c r="R83" i="8"/>
  <c r="P80" i="8" l="1"/>
  <c r="C76" i="8"/>
  <c r="C75" i="8"/>
  <c r="C74" i="8"/>
  <c r="C39" i="8"/>
  <c r="R80" i="8" l="1"/>
  <c r="R79" i="8" s="1"/>
  <c r="R78" i="8"/>
  <c r="Q78" i="8"/>
  <c r="S78" i="8"/>
  <c r="Q80" i="8"/>
  <c r="Q79" i="8" s="1"/>
  <c r="S80" i="8"/>
  <c r="S79" i="8" s="1"/>
  <c r="C53" i="8" l="1"/>
  <c r="K50" i="2" l="1"/>
  <c r="M50" i="2" s="1"/>
  <c r="M49" i="2" s="1"/>
  <c r="J50" i="2"/>
  <c r="G13" i="1"/>
  <c r="Q257" i="8" l="1"/>
  <c r="R257" i="8"/>
  <c r="S257" i="8"/>
  <c r="Q258" i="8"/>
  <c r="R258" i="8"/>
  <c r="S258" i="8"/>
  <c r="B2" i="10"/>
  <c r="C15" i="9"/>
  <c r="C9" i="9"/>
  <c r="C20" i="9" l="1"/>
  <c r="J510" i="2" l="1"/>
  <c r="J189" i="2" l="1"/>
  <c r="P254" i="8"/>
  <c r="R208" i="8"/>
  <c r="Q208" i="8"/>
  <c r="P208" i="8"/>
  <c r="S208" i="8" s="1"/>
  <c r="P70" i="8"/>
  <c r="P66" i="8"/>
  <c r="P62" i="8"/>
  <c r="C29" i="1"/>
  <c r="I23" i="1"/>
  <c r="L23" i="1" s="1"/>
  <c r="J23" i="1"/>
  <c r="K23" i="1"/>
  <c r="I26" i="1"/>
  <c r="L26" i="1" s="1"/>
  <c r="J26" i="1"/>
  <c r="K26" i="1"/>
  <c r="C12" i="2"/>
  <c r="B12" i="2"/>
  <c r="A12" i="2"/>
  <c r="C25" i="1"/>
  <c r="C24" i="1"/>
  <c r="J22" i="1"/>
  <c r="C34" i="1"/>
  <c r="C33" i="1"/>
  <c r="I41" i="1"/>
  <c r="L41" i="1" s="1"/>
  <c r="J41" i="1"/>
  <c r="K41" i="1"/>
  <c r="I42" i="1"/>
  <c r="L42" i="1" s="1"/>
  <c r="J42" i="1"/>
  <c r="K42" i="1"/>
  <c r="I43" i="1"/>
  <c r="L43" i="1" s="1"/>
  <c r="J43" i="1"/>
  <c r="K43" i="1"/>
  <c r="C46" i="1"/>
  <c r="C45" i="1"/>
  <c r="I47" i="1"/>
  <c r="L47" i="1" s="1"/>
  <c r="J47" i="1"/>
  <c r="K47" i="1"/>
  <c r="C48" i="1"/>
  <c r="I53" i="1" l="1"/>
  <c r="C512" i="2"/>
  <c r="B512" i="2"/>
  <c r="A512" i="2"/>
  <c r="J513" i="2"/>
  <c r="C260" i="8"/>
  <c r="R207" i="8"/>
  <c r="Q207" i="8"/>
  <c r="S207" i="8"/>
  <c r="J62" i="2"/>
  <c r="Q23" i="8"/>
  <c r="Q22" i="8" s="1"/>
  <c r="P21" i="8"/>
  <c r="D28" i="7" l="1"/>
  <c r="U263" i="8"/>
  <c r="S263" i="8"/>
  <c r="P50" i="8"/>
  <c r="R254" i="8"/>
  <c r="Q254" i="8"/>
  <c r="S254" i="8"/>
  <c r="P23" i="8"/>
  <c r="S23" i="8" s="1"/>
  <c r="S22" i="8" s="1"/>
  <c r="D18" i="7" s="1"/>
  <c r="R23" i="8"/>
  <c r="R22" i="8" s="1"/>
  <c r="P32" i="8"/>
  <c r="Q32" i="8"/>
  <c r="R32" i="8" l="1"/>
  <c r="S32" i="8"/>
  <c r="Q73" i="8" l="1"/>
  <c r="Q64" i="8"/>
  <c r="Q63" i="8"/>
  <c r="Q57" i="8"/>
  <c r="R64" i="8" l="1"/>
  <c r="P64" i="8"/>
  <c r="S64" i="8" s="1"/>
  <c r="R62" i="8"/>
  <c r="Q62" i="8"/>
  <c r="S62" i="8"/>
  <c r="R66" i="8"/>
  <c r="Q66" i="8"/>
  <c r="S66" i="8"/>
  <c r="R57" i="8"/>
  <c r="P57" i="8"/>
  <c r="S57" i="8" s="1"/>
  <c r="Q48" i="8"/>
  <c r="C40" i="1"/>
  <c r="C39" i="1"/>
  <c r="C54" i="1"/>
  <c r="C57" i="1"/>
  <c r="Q50" i="8" l="1"/>
  <c r="R50" i="8"/>
  <c r="S50" i="8"/>
  <c r="Q21" i="8"/>
  <c r="Q20" i="8" s="1"/>
  <c r="R21" i="8"/>
  <c r="R20" i="8" s="1"/>
  <c r="S21" i="8"/>
  <c r="S20" i="8" s="1"/>
  <c r="D17" i="7" s="1"/>
  <c r="C27" i="1"/>
  <c r="C38" i="1"/>
  <c r="C32" i="1"/>
  <c r="I16" i="1"/>
  <c r="L16" i="1" s="1"/>
  <c r="J16" i="1"/>
  <c r="K16" i="1"/>
  <c r="I14" i="1"/>
  <c r="I17" i="1"/>
  <c r="L17" i="1" s="1"/>
  <c r="J17" i="1"/>
  <c r="K17" i="1"/>
  <c r="I15" i="1"/>
  <c r="K22" i="1" l="1"/>
  <c r="I22" i="1"/>
  <c r="L22" i="1" s="1"/>
  <c r="R49" i="8"/>
  <c r="S49" i="8"/>
  <c r="L5" i="1" l="1"/>
  <c r="F98" i="2"/>
  <c r="H98" i="2" s="1"/>
  <c r="H97" i="2" s="1"/>
  <c r="G8" i="3"/>
  <c r="F189" i="2"/>
  <c r="H189" i="2" s="1"/>
  <c r="F208" i="2"/>
  <c r="H208" i="2" s="1"/>
  <c r="H207" i="2" s="1"/>
  <c r="N97" i="2" l="1"/>
  <c r="N207" i="2"/>
  <c r="F256" i="2" l="1"/>
  <c r="H256" i="2" s="1"/>
  <c r="E256" i="2"/>
  <c r="H255" i="2" l="1"/>
  <c r="E513" i="2" l="1"/>
  <c r="F513" i="2" l="1"/>
  <c r="H513" i="2" s="1"/>
  <c r="H512" i="2" s="1"/>
  <c r="F260" i="2" l="1"/>
  <c r="H260" i="2" s="1"/>
  <c r="H259" i="2" s="1"/>
  <c r="N259" i="2" s="1"/>
  <c r="C52" i="2" l="1"/>
  <c r="B52" i="2"/>
  <c r="A52" i="2"/>
  <c r="E53" i="2"/>
  <c r="K62" i="2" l="1"/>
  <c r="M62" i="2" s="1"/>
  <c r="M61" i="2" s="1"/>
  <c r="B49" i="2" l="1"/>
  <c r="C49" i="2"/>
  <c r="A49" i="2"/>
  <c r="E62" i="2" l="1"/>
  <c r="F62" i="2" l="1"/>
  <c r="H62" i="2" s="1"/>
  <c r="H61" i="2" s="1"/>
  <c r="N49" i="2" l="1"/>
  <c r="N61" i="2"/>
  <c r="J188" i="2" l="1"/>
  <c r="E188" i="2"/>
  <c r="F188" i="2" l="1"/>
  <c r="H188" i="2" s="1"/>
  <c r="H187" i="2" s="1"/>
  <c r="F6" i="1" l="1"/>
  <c r="M21" i="1" l="1"/>
  <c r="M25" i="1"/>
  <c r="M22" i="1"/>
  <c r="N22" i="1" s="1"/>
  <c r="M23" i="1"/>
  <c r="N23" i="1" s="1"/>
  <c r="M26" i="1"/>
  <c r="N26" i="1" s="1"/>
  <c r="M24" i="1"/>
  <c r="M27" i="1"/>
  <c r="M47" i="1"/>
  <c r="N47" i="1" s="1"/>
  <c r="M37" i="1"/>
  <c r="M43" i="1"/>
  <c r="N43" i="1" s="1"/>
  <c r="M38" i="1"/>
  <c r="M39" i="1"/>
  <c r="M40" i="1"/>
  <c r="M41" i="1"/>
  <c r="N41" i="1" s="1"/>
  <c r="M42" i="1"/>
  <c r="N42" i="1" s="1"/>
  <c r="M59" i="1"/>
  <c r="M57" i="1"/>
  <c r="M53" i="1"/>
  <c r="M48" i="1"/>
  <c r="M45" i="1"/>
  <c r="M33" i="1"/>
  <c r="M13" i="1"/>
  <c r="M15" i="1"/>
  <c r="M17" i="1"/>
  <c r="N17" i="1" s="1"/>
  <c r="M58" i="1"/>
  <c r="M52" i="1"/>
  <c r="M32" i="1"/>
  <c r="M50" i="1"/>
  <c r="M29" i="1"/>
  <c r="M20" i="1"/>
  <c r="M56" i="1"/>
  <c r="M46" i="1"/>
  <c r="M36" i="1"/>
  <c r="M14" i="1"/>
  <c r="M12" i="1"/>
  <c r="M54" i="1"/>
  <c r="M34" i="1"/>
  <c r="M51" i="1"/>
  <c r="M30" i="1"/>
  <c r="M16" i="1"/>
  <c r="N16" i="1" s="1"/>
  <c r="C18" i="7" l="1"/>
  <c r="C19" i="7"/>
  <c r="C20" i="7"/>
  <c r="C21" i="7"/>
  <c r="C22" i="7"/>
  <c r="C23" i="7"/>
  <c r="C24" i="7"/>
  <c r="C25" i="7"/>
  <c r="C28" i="7"/>
  <c r="C29" i="7"/>
  <c r="C30" i="7"/>
  <c r="C31" i="7"/>
  <c r="C17" i="7"/>
  <c r="B43" i="2" l="1"/>
  <c r="C43" i="2"/>
  <c r="A43" i="2"/>
  <c r="F44" i="2"/>
  <c r="H44" i="2" s="1"/>
  <c r="H43" i="2" s="1"/>
  <c r="E44" i="2"/>
  <c r="E20" i="2"/>
  <c r="N43" i="2" l="1"/>
  <c r="F13" i="2" l="1"/>
  <c r="H13" i="2" s="1"/>
  <c r="H12" i="2" s="1"/>
  <c r="E13" i="2"/>
  <c r="F9" i="2" l="1"/>
  <c r="H9" i="2" s="1"/>
  <c r="B8" i="2"/>
  <c r="C8" i="2"/>
  <c r="A8" i="2"/>
  <c r="J10" i="2"/>
  <c r="J9" i="2"/>
  <c r="E9" i="2"/>
  <c r="S6" i="8" l="1"/>
  <c r="O6" i="8"/>
  <c r="D6" i="8"/>
  <c r="S5" i="8"/>
  <c r="D5" i="8"/>
  <c r="D4" i="8"/>
  <c r="D3" i="8"/>
  <c r="F7" i="7"/>
  <c r="A40" i="2" l="1"/>
  <c r="B40" i="2"/>
  <c r="C40" i="2"/>
  <c r="E41" i="2"/>
  <c r="F41" i="2"/>
  <c r="H41" i="2" s="1"/>
  <c r="H40" i="2" s="1"/>
  <c r="N40" i="2" l="1"/>
  <c r="H6" i="1" l="1"/>
  <c r="F33" i="1" l="1"/>
  <c r="F25" i="1"/>
  <c r="F45" i="1"/>
  <c r="F46" i="1"/>
  <c r="F39" i="1"/>
  <c r="F40" i="1"/>
  <c r="F38" i="1"/>
  <c r="F32" i="1"/>
  <c r="F14" i="1"/>
  <c r="F13" i="1"/>
  <c r="F12" i="1"/>
  <c r="J13" i="1" l="1"/>
  <c r="K14" i="1"/>
  <c r="J14" i="1"/>
  <c r="L14" i="1"/>
  <c r="J15" i="1"/>
  <c r="K15" i="1"/>
  <c r="L15" i="1"/>
  <c r="N14" i="1" l="1"/>
  <c r="N15" i="1"/>
  <c r="K510" i="2"/>
  <c r="M510" i="2" s="1"/>
  <c r="M509" i="2" s="1"/>
  <c r="K188" i="2"/>
  <c r="M188" i="2" s="1"/>
  <c r="H8" i="2"/>
  <c r="K189" i="2" l="1"/>
  <c r="M189" i="2" s="1"/>
  <c r="M187" i="2" s="1"/>
  <c r="K513" i="2"/>
  <c r="M513" i="2" s="1"/>
  <c r="M512" i="2" s="1"/>
  <c r="N512" i="2" s="1"/>
  <c r="K9" i="2"/>
  <c r="M9" i="2" s="1"/>
  <c r="K10" i="2"/>
  <c r="M10" i="2" s="1"/>
  <c r="F20" i="2"/>
  <c r="H20" i="2" s="1"/>
  <c r="N255" i="2" l="1"/>
  <c r="N187" i="2"/>
  <c r="M8" i="2"/>
  <c r="N509" i="2" l="1"/>
  <c r="N8" i="2"/>
  <c r="J47" i="2" l="1"/>
  <c r="B46" i="2"/>
  <c r="C46" i="2"/>
  <c r="A46" i="2"/>
  <c r="F47" i="2" l="1"/>
  <c r="H47" i="2" s="1"/>
  <c r="H46" i="2" s="1"/>
  <c r="E47" i="2"/>
  <c r="J23" i="2"/>
  <c r="B28" i="2"/>
  <c r="C28" i="2"/>
  <c r="A28" i="2"/>
  <c r="E29" i="2"/>
  <c r="B25" i="2"/>
  <c r="C25" i="2"/>
  <c r="A25" i="2"/>
  <c r="B22" i="2"/>
  <c r="C22" i="2"/>
  <c r="A22" i="2"/>
  <c r="E26" i="2"/>
  <c r="J19" i="2"/>
  <c r="B18" i="2"/>
  <c r="C18" i="2"/>
  <c r="A18" i="2"/>
  <c r="F26" i="2" l="1"/>
  <c r="H26" i="2" s="1"/>
  <c r="H25" i="2" s="1"/>
  <c r="N25" i="2" l="1"/>
  <c r="B31" i="2" l="1"/>
  <c r="C31" i="2"/>
  <c r="A31" i="2"/>
  <c r="E32" i="2"/>
  <c r="K19" i="2" l="1"/>
  <c r="M19" i="2" s="1"/>
  <c r="M18" i="2" s="1"/>
  <c r="K47" i="2"/>
  <c r="M47" i="2" s="1"/>
  <c r="K23" i="2"/>
  <c r="M23" i="2" s="1"/>
  <c r="M22" i="2" s="1"/>
  <c r="F29" i="2"/>
  <c r="H29" i="2" s="1"/>
  <c r="H28" i="2" s="1"/>
  <c r="F32" i="2"/>
  <c r="H32" i="2" s="1"/>
  <c r="H31" i="2" s="1"/>
  <c r="D6" i="1"/>
  <c r="B5" i="5" s="1"/>
  <c r="D5" i="1"/>
  <c r="D4" i="1"/>
  <c r="D3" i="1"/>
  <c r="C8" i="7"/>
  <c r="N22" i="2" l="1"/>
  <c r="N31" i="2"/>
  <c r="N28" i="2"/>
  <c r="M46" i="2"/>
  <c r="N46" i="2" l="1"/>
  <c r="A15" i="2" l="1"/>
  <c r="B15" i="2"/>
  <c r="C15" i="2"/>
  <c r="K16" i="2"/>
  <c r="M16" i="2" s="1"/>
  <c r="M15" i="2" s="1"/>
  <c r="J16" i="2"/>
  <c r="F19" i="2"/>
  <c r="H19" i="2" s="1"/>
  <c r="H18" i="2" s="1"/>
  <c r="E19" i="2"/>
  <c r="A34" i="2"/>
  <c r="B34" i="2"/>
  <c r="C34" i="2"/>
  <c r="F35" i="2"/>
  <c r="H35" i="2" s="1"/>
  <c r="H34" i="2" s="1"/>
  <c r="E35" i="2"/>
  <c r="A37" i="2"/>
  <c r="B37" i="2"/>
  <c r="C37" i="2"/>
  <c r="F38" i="2"/>
  <c r="E38" i="2"/>
  <c r="C4" i="7"/>
  <c r="B2" i="3"/>
  <c r="B1" i="2"/>
  <c r="D5" i="3"/>
  <c r="I4" i="2"/>
  <c r="N4" i="2"/>
  <c r="L6" i="1"/>
  <c r="L62" i="1"/>
  <c r="C6" i="7"/>
  <c r="F6" i="7"/>
  <c r="C7" i="7"/>
  <c r="M6" i="8" s="1"/>
  <c r="C12" i="7"/>
  <c r="C13" i="7"/>
  <c r="C14" i="7"/>
  <c r="C33" i="7"/>
  <c r="C34" i="7"/>
  <c r="D34" i="7"/>
  <c r="C35" i="7"/>
  <c r="O215" i="8" l="1"/>
  <c r="R215" i="8" s="1"/>
  <c r="T215" i="8"/>
  <c r="O28" i="8"/>
  <c r="R28" i="8" s="1"/>
  <c r="T248" i="8"/>
  <c r="T250" i="8"/>
  <c r="O226" i="8"/>
  <c r="R226" i="8" s="1"/>
  <c r="O229" i="8"/>
  <c r="R229" i="8" s="1"/>
  <c r="O228" i="8"/>
  <c r="R228" i="8" s="1"/>
  <c r="O230" i="8"/>
  <c r="R230" i="8" s="1"/>
  <c r="O227" i="8"/>
  <c r="R227" i="8" s="1"/>
  <c r="O231" i="8"/>
  <c r="R231" i="8" s="1"/>
  <c r="O237" i="8"/>
  <c r="R237" i="8" s="1"/>
  <c r="O225" i="8"/>
  <c r="R225" i="8" s="1"/>
  <c r="R256" i="8"/>
  <c r="R255" i="8"/>
  <c r="O250" i="8"/>
  <c r="R250" i="8" s="1"/>
  <c r="O248" i="8"/>
  <c r="R248" i="8" s="1"/>
  <c r="T255" i="8"/>
  <c r="T256" i="8"/>
  <c r="T257" i="8"/>
  <c r="U257" i="8" s="1"/>
  <c r="T258" i="8"/>
  <c r="U258" i="8" s="1"/>
  <c r="T58" i="8"/>
  <c r="T247" i="8"/>
  <c r="O247" i="8"/>
  <c r="R247" i="8" s="1"/>
  <c r="O234" i="8"/>
  <c r="R234" i="8" s="1"/>
  <c r="O235" i="8"/>
  <c r="R235" i="8" s="1"/>
  <c r="O232" i="8"/>
  <c r="R232" i="8" s="1"/>
  <c r="R236" i="8"/>
  <c r="O233" i="8"/>
  <c r="R233" i="8" s="1"/>
  <c r="O238" i="8"/>
  <c r="R238" i="8" s="1"/>
  <c r="O239" i="8"/>
  <c r="R239" i="8" s="1"/>
  <c r="O240" i="8"/>
  <c r="R240" i="8" s="1"/>
  <c r="O223" i="8"/>
  <c r="R223" i="8" s="1"/>
  <c r="O222" i="8"/>
  <c r="R222" i="8" s="1"/>
  <c r="O221" i="8"/>
  <c r="R221" i="8" s="1"/>
  <c r="O219" i="8"/>
  <c r="R219" i="8" s="1"/>
  <c r="O218" i="8"/>
  <c r="R218" i="8" s="1"/>
  <c r="O122" i="8"/>
  <c r="R122" i="8" s="1"/>
  <c r="O129" i="8"/>
  <c r="R129" i="8" s="1"/>
  <c r="O135" i="8"/>
  <c r="R135" i="8" s="1"/>
  <c r="O121" i="8"/>
  <c r="R121" i="8" s="1"/>
  <c r="O141" i="8"/>
  <c r="R141" i="8" s="1"/>
  <c r="O140" i="8"/>
  <c r="R140" i="8" s="1"/>
  <c r="O130" i="8"/>
  <c r="R130" i="8" s="1"/>
  <c r="O134" i="8"/>
  <c r="R134" i="8" s="1"/>
  <c r="O131" i="8"/>
  <c r="R131" i="8" s="1"/>
  <c r="O132" i="8"/>
  <c r="R132" i="8" s="1"/>
  <c r="O133" i="8"/>
  <c r="R133" i="8" s="1"/>
  <c r="O150" i="8"/>
  <c r="R150" i="8" s="1"/>
  <c r="O156" i="8"/>
  <c r="R156" i="8" s="1"/>
  <c r="O155" i="8"/>
  <c r="R155" i="8" s="1"/>
  <c r="O127" i="8"/>
  <c r="R127" i="8" s="1"/>
  <c r="O113" i="8"/>
  <c r="R113" i="8" s="1"/>
  <c r="O112" i="8"/>
  <c r="R112" i="8" s="1"/>
  <c r="O110" i="8"/>
  <c r="R110" i="8" s="1"/>
  <c r="O111" i="8"/>
  <c r="R111" i="8" s="1"/>
  <c r="O99" i="8"/>
  <c r="R99" i="8" s="1"/>
  <c r="O98" i="8"/>
  <c r="R98" i="8" s="1"/>
  <c r="O96" i="8"/>
  <c r="R96" i="8" s="1"/>
  <c r="O97" i="8"/>
  <c r="R97" i="8" s="1"/>
  <c r="O195" i="8"/>
  <c r="R195" i="8" s="1"/>
  <c r="O192" i="8"/>
  <c r="R192" i="8" s="1"/>
  <c r="O77" i="8"/>
  <c r="R77" i="8" s="1"/>
  <c r="O182" i="8"/>
  <c r="R182" i="8" s="1"/>
  <c r="O58" i="8"/>
  <c r="R58" i="8" s="1"/>
  <c r="R56" i="8" s="1"/>
  <c r="T78" i="8"/>
  <c r="U78" i="8" s="1"/>
  <c r="T77" i="8"/>
  <c r="T55" i="8"/>
  <c r="U55" i="8" s="1"/>
  <c r="T54" i="8"/>
  <c r="U54" i="8" s="1"/>
  <c r="T28" i="8"/>
  <c r="T29" i="8"/>
  <c r="U29" i="8" s="1"/>
  <c r="T26" i="8"/>
  <c r="U26" i="8" s="1"/>
  <c r="T27" i="8"/>
  <c r="U27" i="8" s="1"/>
  <c r="T18" i="8"/>
  <c r="O18" i="8"/>
  <c r="R18" i="8" s="1"/>
  <c r="T17" i="8"/>
  <c r="U17" i="8" s="1"/>
  <c r="T16" i="8"/>
  <c r="O16" i="8"/>
  <c r="R16" i="8" s="1"/>
  <c r="O139" i="8"/>
  <c r="R139" i="8" s="1"/>
  <c r="O123" i="8"/>
  <c r="R123" i="8" s="1"/>
  <c r="T15" i="8"/>
  <c r="U15" i="8" s="1"/>
  <c r="T12" i="8"/>
  <c r="U12" i="8" s="1"/>
  <c r="T13" i="8"/>
  <c r="U13" i="8" s="1"/>
  <c r="T228" i="8"/>
  <c r="T229" i="8"/>
  <c r="T236" i="8"/>
  <c r="T237" i="8"/>
  <c r="T241" i="8"/>
  <c r="T233" i="8"/>
  <c r="T234" i="8"/>
  <c r="T235" i="8"/>
  <c r="T230" i="8"/>
  <c r="T231" i="8"/>
  <c r="T238" i="8"/>
  <c r="T232" i="8"/>
  <c r="T239" i="8"/>
  <c r="T240" i="8"/>
  <c r="T242" i="8"/>
  <c r="T227" i="8"/>
  <c r="T243" i="8"/>
  <c r="T226" i="8"/>
  <c r="T244" i="8"/>
  <c r="T218" i="8"/>
  <c r="T219" i="8"/>
  <c r="T220" i="8"/>
  <c r="T224" i="8"/>
  <c r="T223" i="8"/>
  <c r="T221" i="8"/>
  <c r="T222" i="8"/>
  <c r="T225" i="8"/>
  <c r="T161" i="8"/>
  <c r="U161" i="8" s="1"/>
  <c r="T162" i="8"/>
  <c r="U162" i="8" s="1"/>
  <c r="T165" i="8"/>
  <c r="U165" i="8" s="1"/>
  <c r="T166" i="8"/>
  <c r="U166" i="8" s="1"/>
  <c r="T169" i="8"/>
  <c r="U169" i="8" s="1"/>
  <c r="T170" i="8"/>
  <c r="U170" i="8" s="1"/>
  <c r="T173" i="8"/>
  <c r="U173" i="8" s="1"/>
  <c r="T174" i="8"/>
  <c r="U174" i="8" s="1"/>
  <c r="T177" i="8"/>
  <c r="U177" i="8" s="1"/>
  <c r="T178" i="8"/>
  <c r="U178" i="8" s="1"/>
  <c r="T183" i="8"/>
  <c r="T192" i="8"/>
  <c r="T196" i="8"/>
  <c r="U196" i="8" s="1"/>
  <c r="T200" i="8"/>
  <c r="U200" i="8" s="1"/>
  <c r="T172" i="8"/>
  <c r="U172" i="8" s="1"/>
  <c r="T191" i="8"/>
  <c r="T194" i="8"/>
  <c r="T195" i="8"/>
  <c r="T198" i="8"/>
  <c r="T163" i="8"/>
  <c r="U163" i="8" s="1"/>
  <c r="T167" i="8"/>
  <c r="U167" i="8" s="1"/>
  <c r="T171" i="8"/>
  <c r="U171" i="8" s="1"/>
  <c r="T175" i="8"/>
  <c r="U175" i="8" s="1"/>
  <c r="T179" i="8"/>
  <c r="U179" i="8" s="1"/>
  <c r="T184" i="8"/>
  <c r="T185" i="8"/>
  <c r="U185" i="8" s="1"/>
  <c r="T189" i="8"/>
  <c r="T164" i="8"/>
  <c r="U164" i="8" s="1"/>
  <c r="T168" i="8"/>
  <c r="U168" i="8" s="1"/>
  <c r="T188" i="8"/>
  <c r="U188" i="8" s="1"/>
  <c r="T199" i="8"/>
  <c r="U199" i="8" s="1"/>
  <c r="T202" i="8"/>
  <c r="U202" i="8" s="1"/>
  <c r="T186" i="8"/>
  <c r="T187" i="8"/>
  <c r="U187" i="8" s="1"/>
  <c r="T190" i="8"/>
  <c r="T193" i="8"/>
  <c r="U193" i="8" s="1"/>
  <c r="T197" i="8"/>
  <c r="U197" i="8" s="1"/>
  <c r="T201" i="8"/>
  <c r="U201" i="8" s="1"/>
  <c r="T176" i="8"/>
  <c r="U176" i="8" s="1"/>
  <c r="T182" i="8"/>
  <c r="T181" i="8"/>
  <c r="T140" i="8"/>
  <c r="T141" i="8"/>
  <c r="T144" i="8"/>
  <c r="U144" i="8" s="1"/>
  <c r="T149" i="8"/>
  <c r="T154" i="8"/>
  <c r="T142" i="8"/>
  <c r="U142" i="8" s="1"/>
  <c r="T145" i="8"/>
  <c r="T150" i="8"/>
  <c r="T155" i="8"/>
  <c r="T156" i="8"/>
  <c r="T146" i="8"/>
  <c r="T157" i="8"/>
  <c r="T143" i="8"/>
  <c r="U143" i="8" s="1"/>
  <c r="T147" i="8"/>
  <c r="T148" i="8"/>
  <c r="U148" i="8" s="1"/>
  <c r="T151" i="8"/>
  <c r="U151" i="8" s="1"/>
  <c r="T152" i="8"/>
  <c r="U152" i="8" s="1"/>
  <c r="T153" i="8"/>
  <c r="U153" i="8" s="1"/>
  <c r="T139" i="8"/>
  <c r="T128" i="8"/>
  <c r="U128" i="8" s="1"/>
  <c r="T129" i="8"/>
  <c r="T130" i="8"/>
  <c r="T131" i="8"/>
  <c r="T132" i="8"/>
  <c r="T133" i="8"/>
  <c r="T134" i="8"/>
  <c r="T135" i="8"/>
  <c r="T127" i="8"/>
  <c r="T122" i="8"/>
  <c r="T121" i="8"/>
  <c r="T123" i="8"/>
  <c r="T124" i="8"/>
  <c r="T112" i="8"/>
  <c r="T113" i="8"/>
  <c r="T110" i="8"/>
  <c r="T111" i="8"/>
  <c r="T108" i="8"/>
  <c r="T106" i="8"/>
  <c r="U106" i="8" s="1"/>
  <c r="T107" i="8"/>
  <c r="T97" i="8"/>
  <c r="T101" i="8"/>
  <c r="U101" i="8" s="1"/>
  <c r="T102" i="8"/>
  <c r="U102" i="8" s="1"/>
  <c r="T103" i="8"/>
  <c r="U103" i="8" s="1"/>
  <c r="T98" i="8"/>
  <c r="T99" i="8"/>
  <c r="T100" i="8"/>
  <c r="U100" i="8" s="1"/>
  <c r="T87" i="8"/>
  <c r="U87" i="8" s="1"/>
  <c r="T94" i="8"/>
  <c r="U94" i="8" s="1"/>
  <c r="T86" i="8"/>
  <c r="U86" i="8" s="1"/>
  <c r="T85" i="8"/>
  <c r="U85" i="8" s="1"/>
  <c r="T92" i="8"/>
  <c r="U92" i="8" s="1"/>
  <c r="T89" i="8"/>
  <c r="U89" i="8" s="1"/>
  <c r="T95" i="8"/>
  <c r="U95" i="8" s="1"/>
  <c r="T96" i="8"/>
  <c r="T88" i="8"/>
  <c r="U88" i="8" s="1"/>
  <c r="T91" i="8"/>
  <c r="U91" i="8" s="1"/>
  <c r="T90" i="8"/>
  <c r="U90" i="8" s="1"/>
  <c r="T93" i="8"/>
  <c r="U93" i="8" s="1"/>
  <c r="R252" i="8"/>
  <c r="R251" i="8"/>
  <c r="O249" i="8"/>
  <c r="O246" i="8"/>
  <c r="R246" i="8" s="1"/>
  <c r="T43" i="8"/>
  <c r="T252" i="8"/>
  <c r="T246" i="8"/>
  <c r="T249" i="8"/>
  <c r="T251" i="8"/>
  <c r="O43" i="8"/>
  <c r="R43" i="8" s="1"/>
  <c r="T42" i="8"/>
  <c r="T40" i="8"/>
  <c r="T41" i="8"/>
  <c r="O42" i="8"/>
  <c r="R42" i="8" s="1"/>
  <c r="O41" i="8"/>
  <c r="R41" i="8" s="1"/>
  <c r="O40" i="8"/>
  <c r="R40" i="8" s="1"/>
  <c r="O37" i="8"/>
  <c r="O36" i="8"/>
  <c r="R36" i="8" s="1"/>
  <c r="O34" i="8"/>
  <c r="R34" i="8" s="1"/>
  <c r="O35" i="8"/>
  <c r="R35" i="8" s="1"/>
  <c r="T36" i="8"/>
  <c r="T37" i="8"/>
  <c r="T14" i="8"/>
  <c r="U14" i="8" s="1"/>
  <c r="O198" i="8"/>
  <c r="R198" i="8" s="1"/>
  <c r="O183" i="8"/>
  <c r="R183" i="8" s="1"/>
  <c r="O194" i="8"/>
  <c r="R194" i="8" s="1"/>
  <c r="O189" i="8"/>
  <c r="R189" i="8" s="1"/>
  <c r="O191" i="8"/>
  <c r="R191" i="8" s="1"/>
  <c r="O190" i="8"/>
  <c r="R190" i="8" s="1"/>
  <c r="O186" i="8"/>
  <c r="R186" i="8" s="1"/>
  <c r="O184" i="8"/>
  <c r="R184" i="8" s="1"/>
  <c r="O181" i="8"/>
  <c r="R181" i="8" s="1"/>
  <c r="T160" i="8"/>
  <c r="U160" i="8" s="1"/>
  <c r="T138" i="8"/>
  <c r="T125" i="8"/>
  <c r="U125" i="8" s="1"/>
  <c r="T126" i="8"/>
  <c r="O212" i="8"/>
  <c r="R212" i="8" s="1"/>
  <c r="O211" i="8"/>
  <c r="R211" i="8" s="1"/>
  <c r="O214" i="8"/>
  <c r="R214" i="8" s="1"/>
  <c r="O213" i="8"/>
  <c r="R213" i="8" s="1"/>
  <c r="O220" i="8"/>
  <c r="R220" i="8" s="1"/>
  <c r="O217" i="8"/>
  <c r="R217" i="8" s="1"/>
  <c r="O224" i="8"/>
  <c r="R224" i="8" s="1"/>
  <c r="O216" i="8"/>
  <c r="R216" i="8" s="1"/>
  <c r="O241" i="8"/>
  <c r="R241" i="8" s="1"/>
  <c r="O243" i="8"/>
  <c r="R243" i="8" s="1"/>
  <c r="O244" i="8"/>
  <c r="R244" i="8" s="1"/>
  <c r="O242" i="8"/>
  <c r="R242" i="8" s="1"/>
  <c r="O210" i="8"/>
  <c r="R210" i="8" s="1"/>
  <c r="O157" i="8"/>
  <c r="R157" i="8" s="1"/>
  <c r="O154" i="8"/>
  <c r="R154" i="8" s="1"/>
  <c r="O137" i="8"/>
  <c r="R137" i="8" s="1"/>
  <c r="O138" i="8"/>
  <c r="R138" i="8" s="1"/>
  <c r="O149" i="8"/>
  <c r="R149" i="8" s="1"/>
  <c r="O126" i="8"/>
  <c r="R126" i="8" s="1"/>
  <c r="O119" i="8"/>
  <c r="R119" i="8" s="1"/>
  <c r="O120" i="8"/>
  <c r="R120" i="8" s="1"/>
  <c r="O118" i="8"/>
  <c r="R118" i="8" s="1"/>
  <c r="O115" i="8"/>
  <c r="R115" i="8" s="1"/>
  <c r="O108" i="8"/>
  <c r="R108" i="8" s="1"/>
  <c r="O107" i="8"/>
  <c r="R107" i="8" s="1"/>
  <c r="O76" i="8"/>
  <c r="R76" i="8" s="1"/>
  <c r="O75" i="8"/>
  <c r="R75" i="8" s="1"/>
  <c r="O74" i="8"/>
  <c r="R74" i="8" s="1"/>
  <c r="O53" i="8"/>
  <c r="R53" i="8" s="1"/>
  <c r="R52" i="8" s="1"/>
  <c r="O39" i="8"/>
  <c r="R39" i="8" s="1"/>
  <c r="O147" i="8"/>
  <c r="R147" i="8" s="1"/>
  <c r="O124" i="8"/>
  <c r="R124" i="8" s="1"/>
  <c r="O259" i="8"/>
  <c r="R259" i="8" s="1"/>
  <c r="T259" i="8"/>
  <c r="T216" i="8"/>
  <c r="T217" i="8"/>
  <c r="T214" i="8"/>
  <c r="T212" i="8"/>
  <c r="T213" i="8"/>
  <c r="T211" i="8"/>
  <c r="T204" i="8"/>
  <c r="U204" i="8" s="1"/>
  <c r="U203" i="8" s="1"/>
  <c r="E26" i="7" s="1"/>
  <c r="T206" i="8"/>
  <c r="U206" i="8" s="1"/>
  <c r="U205" i="8" s="1"/>
  <c r="E27" i="7" s="1"/>
  <c r="O146" i="8"/>
  <c r="R146" i="8" s="1"/>
  <c r="O145" i="8"/>
  <c r="R145" i="8" s="1"/>
  <c r="O117" i="8"/>
  <c r="R117" i="8" s="1"/>
  <c r="T19" i="8"/>
  <c r="R109" i="8"/>
  <c r="O19" i="8"/>
  <c r="T104" i="8"/>
  <c r="U104" i="8" s="1"/>
  <c r="T105" i="8"/>
  <c r="U105" i="8" s="1"/>
  <c r="T114" i="8"/>
  <c r="U114" i="8" s="1"/>
  <c r="T84" i="8"/>
  <c r="U84" i="8" s="1"/>
  <c r="T83" i="8"/>
  <c r="U83" i="8" s="1"/>
  <c r="T119" i="8"/>
  <c r="T120" i="8"/>
  <c r="T118" i="8"/>
  <c r="T115" i="8"/>
  <c r="T116" i="8"/>
  <c r="U116" i="8" s="1"/>
  <c r="T117" i="8"/>
  <c r="T109" i="8"/>
  <c r="T80" i="8"/>
  <c r="U80" i="8" s="1"/>
  <c r="U79" i="8" s="1"/>
  <c r="T75" i="8"/>
  <c r="T76" i="8"/>
  <c r="T74" i="8"/>
  <c r="T68" i="8"/>
  <c r="G34" i="1"/>
  <c r="J34" i="1" s="1"/>
  <c r="H34" i="1"/>
  <c r="K34" i="1" s="1"/>
  <c r="T70" i="8"/>
  <c r="T34" i="8"/>
  <c r="T208" i="8"/>
  <c r="U208" i="8" s="1"/>
  <c r="U207" i="8" s="1"/>
  <c r="T63" i="8"/>
  <c r="T62" i="8"/>
  <c r="U62" i="8" s="1"/>
  <c r="T60" i="8"/>
  <c r="T45" i="8"/>
  <c r="T25" i="8"/>
  <c r="T260" i="8"/>
  <c r="T39" i="8"/>
  <c r="T137" i="8"/>
  <c r="T64" i="8"/>
  <c r="U64" i="8" s="1"/>
  <c r="T23" i="8"/>
  <c r="U23" i="8" s="1"/>
  <c r="U22" i="8" s="1"/>
  <c r="E18" i="7" s="1"/>
  <c r="T53" i="8"/>
  <c r="T50" i="8"/>
  <c r="U50" i="8" s="1"/>
  <c r="T48" i="8"/>
  <c r="T57" i="8"/>
  <c r="U57" i="8" s="1"/>
  <c r="T67" i="8"/>
  <c r="T210" i="8"/>
  <c r="T66" i="8"/>
  <c r="U66" i="8" s="1"/>
  <c r="T21" i="8"/>
  <c r="U21" i="8" s="1"/>
  <c r="U20" i="8" s="1"/>
  <c r="E17" i="7" s="1"/>
  <c r="T32" i="8"/>
  <c r="U32" i="8" s="1"/>
  <c r="T254" i="8"/>
  <c r="U254" i="8" s="1"/>
  <c r="T35" i="8"/>
  <c r="T73" i="8"/>
  <c r="G27" i="1"/>
  <c r="J27" i="1" s="1"/>
  <c r="K30" i="1"/>
  <c r="H27" i="1"/>
  <c r="K27" i="1" s="1"/>
  <c r="G25" i="1"/>
  <c r="H25" i="1"/>
  <c r="K25" i="1" s="1"/>
  <c r="G57" i="1"/>
  <c r="J57" i="1" s="1"/>
  <c r="O260" i="8"/>
  <c r="R260" i="8" s="1"/>
  <c r="R25" i="8"/>
  <c r="H29" i="1"/>
  <c r="K29" i="1" s="1"/>
  <c r="K56" i="1"/>
  <c r="H39" i="1"/>
  <c r="K39" i="1" s="1"/>
  <c r="G40" i="1"/>
  <c r="G39" i="1"/>
  <c r="K50" i="1"/>
  <c r="H46" i="1"/>
  <c r="K46" i="1" s="1"/>
  <c r="G54" i="1"/>
  <c r="G38" i="1"/>
  <c r="J56" i="1"/>
  <c r="G33" i="1"/>
  <c r="J33" i="1" s="1"/>
  <c r="G46" i="1"/>
  <c r="H32" i="1"/>
  <c r="K32" i="1" s="1"/>
  <c r="K53" i="1"/>
  <c r="J36" i="1"/>
  <c r="G45" i="1"/>
  <c r="J59" i="1"/>
  <c r="K51" i="1"/>
  <c r="H54" i="1"/>
  <c r="K54" i="1" s="1"/>
  <c r="H45" i="1"/>
  <c r="K45" i="1" s="1"/>
  <c r="H24" i="1"/>
  <c r="K24" i="1" s="1"/>
  <c r="G24" i="1"/>
  <c r="H48" i="1"/>
  <c r="K48" i="1" s="1"/>
  <c r="H33" i="1"/>
  <c r="K33" i="1" s="1"/>
  <c r="G32" i="1"/>
  <c r="H38" i="1"/>
  <c r="K38" i="1" s="1"/>
  <c r="G29" i="1"/>
  <c r="G48" i="1"/>
  <c r="J20" i="1"/>
  <c r="K37" i="1"/>
  <c r="K36" i="1"/>
  <c r="K52" i="1"/>
  <c r="N18" i="2"/>
  <c r="N34" i="2"/>
  <c r="N15" i="2"/>
  <c r="B3" i="3"/>
  <c r="K20" i="1"/>
  <c r="B2" i="2"/>
  <c r="C3" i="7"/>
  <c r="B2" i="5"/>
  <c r="B1" i="3"/>
  <c r="B1" i="5"/>
  <c r="B3" i="5"/>
  <c r="B3" i="2"/>
  <c r="B5" i="3"/>
  <c r="H38" i="2"/>
  <c r="H37" i="2" s="1"/>
  <c r="C2" i="7"/>
  <c r="B4" i="2"/>
  <c r="R24" i="8" l="1"/>
  <c r="N215" i="8"/>
  <c r="N28" i="8"/>
  <c r="N227" i="8"/>
  <c r="N229" i="8"/>
  <c r="N231" i="8"/>
  <c r="N226" i="8"/>
  <c r="N228" i="8"/>
  <c r="N230" i="8"/>
  <c r="N237" i="8"/>
  <c r="N225" i="8"/>
  <c r="N250" i="8"/>
  <c r="N248" i="8"/>
  <c r="N247" i="8"/>
  <c r="N234" i="8"/>
  <c r="N235" i="8"/>
  <c r="N232" i="8"/>
  <c r="N233" i="8"/>
  <c r="N239" i="8"/>
  <c r="N238" i="8"/>
  <c r="N240" i="8"/>
  <c r="N221" i="8"/>
  <c r="N223" i="8"/>
  <c r="N222" i="8"/>
  <c r="N218" i="8"/>
  <c r="N219" i="8"/>
  <c r="N129" i="8"/>
  <c r="N122" i="8"/>
  <c r="N135" i="8"/>
  <c r="N121" i="8"/>
  <c r="N141" i="8"/>
  <c r="N140" i="8"/>
  <c r="N130" i="8"/>
  <c r="N134" i="8"/>
  <c r="N131" i="8"/>
  <c r="N133" i="8"/>
  <c r="N132" i="8"/>
  <c r="N150" i="8"/>
  <c r="N155" i="8"/>
  <c r="N156" i="8"/>
  <c r="N127" i="8"/>
  <c r="N111" i="8"/>
  <c r="N112" i="8"/>
  <c r="N110" i="8"/>
  <c r="N113" i="8"/>
  <c r="N98" i="8"/>
  <c r="P98" i="8" s="1"/>
  <c r="S98" i="8" s="1"/>
  <c r="U98" i="8" s="1"/>
  <c r="N99" i="8"/>
  <c r="N97" i="8"/>
  <c r="N96" i="8"/>
  <c r="N195" i="8"/>
  <c r="N192" i="8"/>
  <c r="N182" i="8"/>
  <c r="N77" i="8"/>
  <c r="N58" i="8"/>
  <c r="N18" i="8"/>
  <c r="Q18" i="8" s="1"/>
  <c r="N16" i="8"/>
  <c r="N139" i="8"/>
  <c r="N123" i="8"/>
  <c r="R249" i="8"/>
  <c r="N249" i="8"/>
  <c r="Q249" i="8" s="1"/>
  <c r="N246" i="8"/>
  <c r="R38" i="8"/>
  <c r="N43" i="8"/>
  <c r="N42" i="8"/>
  <c r="N40" i="8"/>
  <c r="N41" i="8"/>
  <c r="N37" i="8"/>
  <c r="Q37" i="8" s="1"/>
  <c r="N36" i="8"/>
  <c r="N35" i="8"/>
  <c r="N34" i="8"/>
  <c r="R37" i="8"/>
  <c r="R33" i="8" s="1"/>
  <c r="N194" i="8"/>
  <c r="N190" i="8"/>
  <c r="N189" i="8"/>
  <c r="N184" i="8"/>
  <c r="N181" i="8"/>
  <c r="N198" i="8"/>
  <c r="N191" i="8"/>
  <c r="N186" i="8"/>
  <c r="N183" i="8"/>
  <c r="U159" i="8"/>
  <c r="R82" i="8"/>
  <c r="N212" i="8"/>
  <c r="N217" i="8"/>
  <c r="P217" i="8" s="1"/>
  <c r="N211" i="8"/>
  <c r="N220" i="8"/>
  <c r="N214" i="8"/>
  <c r="N213" i="8"/>
  <c r="N216" i="8"/>
  <c r="N224" i="8"/>
  <c r="N243" i="8"/>
  <c r="N242" i="8"/>
  <c r="N244" i="8"/>
  <c r="N241" i="8"/>
  <c r="N210" i="8"/>
  <c r="R136" i="8"/>
  <c r="N157" i="8"/>
  <c r="N154" i="8"/>
  <c r="N137" i="8"/>
  <c r="N138" i="8"/>
  <c r="N149" i="8"/>
  <c r="N126" i="8"/>
  <c r="N119" i="8"/>
  <c r="N118" i="8"/>
  <c r="N120" i="8"/>
  <c r="N108" i="8"/>
  <c r="N115" i="8"/>
  <c r="N107" i="8"/>
  <c r="N76" i="8"/>
  <c r="N74" i="8"/>
  <c r="N75" i="8"/>
  <c r="R67" i="8"/>
  <c r="R68" i="8"/>
  <c r="N39" i="8"/>
  <c r="N53" i="8"/>
  <c r="N147" i="8"/>
  <c r="N124" i="8"/>
  <c r="N259" i="8"/>
  <c r="R19" i="8"/>
  <c r="R11" i="8" s="1"/>
  <c r="E28" i="7"/>
  <c r="N146" i="8"/>
  <c r="N145" i="8"/>
  <c r="N117" i="8"/>
  <c r="N19" i="8"/>
  <c r="U49" i="8"/>
  <c r="R45" i="8"/>
  <c r="R44" i="8" s="1"/>
  <c r="I30" i="1"/>
  <c r="L30" i="1" s="1"/>
  <c r="N30" i="1" s="1"/>
  <c r="J30" i="1"/>
  <c r="I27" i="1"/>
  <c r="L27" i="1" s="1"/>
  <c r="N27" i="1" s="1"/>
  <c r="J21" i="1"/>
  <c r="J24" i="1"/>
  <c r="I24" i="1"/>
  <c r="L24" i="1" s="1"/>
  <c r="N24" i="1" s="1"/>
  <c r="I25" i="1"/>
  <c r="L25" i="1" s="1"/>
  <c r="N25" i="1" s="1"/>
  <c r="J25" i="1"/>
  <c r="I37" i="1"/>
  <c r="L37" i="1" s="1"/>
  <c r="N37" i="1" s="1"/>
  <c r="J37" i="1"/>
  <c r="I39" i="1"/>
  <c r="L39" i="1" s="1"/>
  <c r="N39" i="1" s="1"/>
  <c r="J39" i="1"/>
  <c r="J40" i="1"/>
  <c r="I38" i="1"/>
  <c r="L38" i="1" s="1"/>
  <c r="N38" i="1" s="1"/>
  <c r="J38" i="1"/>
  <c r="R253" i="8"/>
  <c r="N260" i="8"/>
  <c r="R31" i="8"/>
  <c r="I13" i="1"/>
  <c r="L13" i="1" s="1"/>
  <c r="K13" i="1"/>
  <c r="H40" i="1"/>
  <c r="K40" i="1" s="1"/>
  <c r="K35" i="1" s="1"/>
  <c r="K21" i="1"/>
  <c r="K59" i="1"/>
  <c r="J58" i="1"/>
  <c r="I29" i="1"/>
  <c r="L29" i="1" s="1"/>
  <c r="J29" i="1"/>
  <c r="K49" i="1"/>
  <c r="J51" i="1"/>
  <c r="I51" i="1"/>
  <c r="L51" i="1" s="1"/>
  <c r="J53" i="1"/>
  <c r="L53" i="1"/>
  <c r="J52" i="1"/>
  <c r="I52" i="1"/>
  <c r="L52" i="1" s="1"/>
  <c r="K44" i="1"/>
  <c r="K31" i="1"/>
  <c r="R60" i="8"/>
  <c r="I50" i="1"/>
  <c r="L50" i="1" s="1"/>
  <c r="J50" i="1"/>
  <c r="I48" i="1"/>
  <c r="L48" i="1" s="1"/>
  <c r="J48" i="1"/>
  <c r="I46" i="1"/>
  <c r="L46" i="1" s="1"/>
  <c r="J46" i="1"/>
  <c r="J54" i="1"/>
  <c r="I54" i="1"/>
  <c r="L54" i="1" s="1"/>
  <c r="J45" i="1"/>
  <c r="I45" i="1"/>
  <c r="L45" i="1" s="1"/>
  <c r="I34" i="1"/>
  <c r="L34" i="1" s="1"/>
  <c r="I20" i="1"/>
  <c r="I36" i="1"/>
  <c r="L36" i="1" s="1"/>
  <c r="I33" i="1"/>
  <c r="L33" i="1" s="1"/>
  <c r="I56" i="1"/>
  <c r="L56" i="1" s="1"/>
  <c r="N37" i="2"/>
  <c r="I32" i="1"/>
  <c r="L32" i="1" s="1"/>
  <c r="J32" i="1"/>
  <c r="Q215" i="8" l="1"/>
  <c r="P215" i="8"/>
  <c r="S215" i="8" s="1"/>
  <c r="U215" i="8" s="1"/>
  <c r="P28" i="8"/>
  <c r="S28" i="8" s="1"/>
  <c r="U28" i="8" s="1"/>
  <c r="Q28" i="8"/>
  <c r="P225" i="8"/>
  <c r="S225" i="8" s="1"/>
  <c r="U225" i="8" s="1"/>
  <c r="Q225" i="8"/>
  <c r="P255" i="8"/>
  <c r="S255" i="8" s="1"/>
  <c r="U255" i="8" s="1"/>
  <c r="Q255" i="8"/>
  <c r="P256" i="8"/>
  <c r="S256" i="8" s="1"/>
  <c r="U256" i="8" s="1"/>
  <c r="Q256" i="8"/>
  <c r="Q250" i="8"/>
  <c r="P250" i="8"/>
  <c r="S250" i="8" s="1"/>
  <c r="U250" i="8" s="1"/>
  <c r="P248" i="8"/>
  <c r="S248" i="8" s="1"/>
  <c r="U248" i="8" s="1"/>
  <c r="Q248" i="8"/>
  <c r="Q247" i="8"/>
  <c r="P247" i="8"/>
  <c r="S247" i="8" s="1"/>
  <c r="U247" i="8" s="1"/>
  <c r="P233" i="8"/>
  <c r="S233" i="8" s="1"/>
  <c r="U233" i="8" s="1"/>
  <c r="Q233" i="8"/>
  <c r="Q226" i="8"/>
  <c r="P226" i="8"/>
  <c r="S226" i="8" s="1"/>
  <c r="U226" i="8" s="1"/>
  <c r="Q230" i="8"/>
  <c r="P230" i="8"/>
  <c r="S230" i="8" s="1"/>
  <c r="U230" i="8" s="1"/>
  <c r="P229" i="8"/>
  <c r="S229" i="8" s="1"/>
  <c r="U229" i="8" s="1"/>
  <c r="Q229" i="8"/>
  <c r="Q231" i="8"/>
  <c r="P231" i="8"/>
  <c r="S231" i="8" s="1"/>
  <c r="U231" i="8" s="1"/>
  <c r="P228" i="8"/>
  <c r="S228" i="8" s="1"/>
  <c r="U228" i="8" s="1"/>
  <c r="Q228" i="8"/>
  <c r="Q234" i="8"/>
  <c r="P234" i="8"/>
  <c r="S234" i="8" s="1"/>
  <c r="U234" i="8" s="1"/>
  <c r="Q227" i="8"/>
  <c r="P227" i="8"/>
  <c r="S227" i="8" s="1"/>
  <c r="U227" i="8" s="1"/>
  <c r="Q235" i="8"/>
  <c r="P235" i="8"/>
  <c r="S235" i="8" s="1"/>
  <c r="U235" i="8" s="1"/>
  <c r="P236" i="8"/>
  <c r="S236" i="8" s="1"/>
  <c r="U236" i="8" s="1"/>
  <c r="Q236" i="8"/>
  <c r="P232" i="8"/>
  <c r="S232" i="8" s="1"/>
  <c r="U232" i="8" s="1"/>
  <c r="Q232" i="8"/>
  <c r="P237" i="8"/>
  <c r="S237" i="8" s="1"/>
  <c r="U237" i="8" s="1"/>
  <c r="Q237" i="8"/>
  <c r="P240" i="8"/>
  <c r="S240" i="8" s="1"/>
  <c r="U240" i="8" s="1"/>
  <c r="Q240" i="8"/>
  <c r="Q238" i="8"/>
  <c r="P238" i="8"/>
  <c r="S238" i="8" s="1"/>
  <c r="U238" i="8" s="1"/>
  <c r="P239" i="8"/>
  <c r="S239" i="8" s="1"/>
  <c r="U239" i="8" s="1"/>
  <c r="Q239" i="8"/>
  <c r="P223" i="8"/>
  <c r="S223" i="8" s="1"/>
  <c r="U223" i="8" s="1"/>
  <c r="Q223" i="8"/>
  <c r="P221" i="8"/>
  <c r="S221" i="8" s="1"/>
  <c r="U221" i="8" s="1"/>
  <c r="Q221" i="8"/>
  <c r="P222" i="8"/>
  <c r="S222" i="8" s="1"/>
  <c r="U222" i="8" s="1"/>
  <c r="Q222" i="8"/>
  <c r="Q219" i="8"/>
  <c r="P219" i="8"/>
  <c r="S219" i="8" s="1"/>
  <c r="U219" i="8" s="1"/>
  <c r="Q218" i="8"/>
  <c r="P218" i="8"/>
  <c r="S218" i="8" s="1"/>
  <c r="U218" i="8" s="1"/>
  <c r="Q122" i="8"/>
  <c r="P122" i="8"/>
  <c r="S122" i="8" s="1"/>
  <c r="U122" i="8" s="1"/>
  <c r="Q129" i="8"/>
  <c r="P129" i="8"/>
  <c r="S129" i="8" s="1"/>
  <c r="U129" i="8" s="1"/>
  <c r="Q135" i="8"/>
  <c r="P135" i="8"/>
  <c r="S135" i="8" s="1"/>
  <c r="U135" i="8" s="1"/>
  <c r="Q121" i="8"/>
  <c r="P121" i="8"/>
  <c r="S121" i="8" s="1"/>
  <c r="U121" i="8" s="1"/>
  <c r="P140" i="8"/>
  <c r="S140" i="8" s="1"/>
  <c r="U140" i="8" s="1"/>
  <c r="Q140" i="8"/>
  <c r="P141" i="8"/>
  <c r="S141" i="8" s="1"/>
  <c r="U141" i="8" s="1"/>
  <c r="Q141" i="8"/>
  <c r="P130" i="8"/>
  <c r="S130" i="8" s="1"/>
  <c r="U130" i="8" s="1"/>
  <c r="Q130" i="8"/>
  <c r="Q150" i="8"/>
  <c r="P150" i="8"/>
  <c r="S150" i="8" s="1"/>
  <c r="U150" i="8" s="1"/>
  <c r="P134" i="8"/>
  <c r="S134" i="8" s="1"/>
  <c r="U134" i="8" s="1"/>
  <c r="Q134" i="8"/>
  <c r="Q132" i="8"/>
  <c r="P132" i="8"/>
  <c r="S132" i="8" s="1"/>
  <c r="U132" i="8" s="1"/>
  <c r="P133" i="8"/>
  <c r="S133" i="8" s="1"/>
  <c r="U133" i="8" s="1"/>
  <c r="Q133" i="8"/>
  <c r="P131" i="8"/>
  <c r="S131" i="8" s="1"/>
  <c r="U131" i="8" s="1"/>
  <c r="Q131" i="8"/>
  <c r="Q156" i="8"/>
  <c r="P156" i="8"/>
  <c r="S156" i="8" s="1"/>
  <c r="U156" i="8" s="1"/>
  <c r="Q155" i="8"/>
  <c r="P155" i="8"/>
  <c r="S155" i="8" s="1"/>
  <c r="U155" i="8" s="1"/>
  <c r="Q127" i="8"/>
  <c r="P127" i="8"/>
  <c r="S127" i="8" s="1"/>
  <c r="U127" i="8" s="1"/>
  <c r="Q111" i="8"/>
  <c r="P111" i="8"/>
  <c r="S111" i="8" s="1"/>
  <c r="U111" i="8" s="1"/>
  <c r="Q113" i="8"/>
  <c r="P113" i="8"/>
  <c r="S113" i="8" s="1"/>
  <c r="U113" i="8" s="1"/>
  <c r="P110" i="8"/>
  <c r="S110" i="8" s="1"/>
  <c r="U110" i="8" s="1"/>
  <c r="Q110" i="8"/>
  <c r="P112" i="8"/>
  <c r="S112" i="8" s="1"/>
  <c r="U112" i="8" s="1"/>
  <c r="Q112" i="8"/>
  <c r="Q98" i="8"/>
  <c r="Q99" i="8"/>
  <c r="P99" i="8"/>
  <c r="S99" i="8" s="1"/>
  <c r="U99" i="8" s="1"/>
  <c r="Q96" i="8"/>
  <c r="P96" i="8"/>
  <c r="S96" i="8" s="1"/>
  <c r="U96" i="8" s="1"/>
  <c r="Q97" i="8"/>
  <c r="P97" i="8"/>
  <c r="S97" i="8" s="1"/>
  <c r="U97" i="8" s="1"/>
  <c r="Q192" i="8"/>
  <c r="P192" i="8"/>
  <c r="S192" i="8" s="1"/>
  <c r="U192" i="8" s="1"/>
  <c r="P195" i="8"/>
  <c r="S195" i="8" s="1"/>
  <c r="U195" i="8" s="1"/>
  <c r="Q195" i="8"/>
  <c r="P182" i="8"/>
  <c r="S182" i="8" s="1"/>
  <c r="U182" i="8" s="1"/>
  <c r="Q182" i="8"/>
  <c r="Q77" i="8"/>
  <c r="P77" i="8"/>
  <c r="S77" i="8" s="1"/>
  <c r="U77" i="8" s="1"/>
  <c r="P58" i="8"/>
  <c r="S58" i="8" s="1"/>
  <c r="Q58" i="8"/>
  <c r="Q56" i="8" s="1"/>
  <c r="P18" i="8"/>
  <c r="S18" i="8" s="1"/>
  <c r="U18" i="8" s="1"/>
  <c r="Q139" i="8"/>
  <c r="P139" i="8"/>
  <c r="S139" i="8" s="1"/>
  <c r="U139" i="8" s="1"/>
  <c r="P16" i="8"/>
  <c r="S16" i="8" s="1"/>
  <c r="U16" i="8" s="1"/>
  <c r="Q16" i="8"/>
  <c r="Q123" i="8"/>
  <c r="P123" i="8"/>
  <c r="S123" i="8" s="1"/>
  <c r="U123" i="8" s="1"/>
  <c r="Q241" i="8"/>
  <c r="P241" i="8"/>
  <c r="S241" i="8" s="1"/>
  <c r="P243" i="8"/>
  <c r="S243" i="8" s="1"/>
  <c r="Q243" i="8"/>
  <c r="Q244" i="8"/>
  <c r="P244" i="8"/>
  <c r="S244" i="8" s="1"/>
  <c r="P242" i="8"/>
  <c r="S242" i="8" s="1"/>
  <c r="Q242" i="8"/>
  <c r="P224" i="8"/>
  <c r="S224" i="8" s="1"/>
  <c r="Q224" i="8"/>
  <c r="P220" i="8"/>
  <c r="S220" i="8" s="1"/>
  <c r="Q220" i="8"/>
  <c r="P184" i="8"/>
  <c r="S184" i="8" s="1"/>
  <c r="Q184" i="8"/>
  <c r="Q191" i="8"/>
  <c r="P191" i="8"/>
  <c r="S191" i="8" s="1"/>
  <c r="P189" i="8"/>
  <c r="S189" i="8" s="1"/>
  <c r="Q189" i="8"/>
  <c r="P198" i="8"/>
  <c r="S198" i="8" s="1"/>
  <c r="Q198" i="8"/>
  <c r="P190" i="8"/>
  <c r="S190" i="8" s="1"/>
  <c r="Q190" i="8"/>
  <c r="P186" i="8"/>
  <c r="S186" i="8" s="1"/>
  <c r="Q186" i="8"/>
  <c r="Q183" i="8"/>
  <c r="P183" i="8"/>
  <c r="S183" i="8" s="1"/>
  <c r="P194" i="8"/>
  <c r="S194" i="8" s="1"/>
  <c r="Q194" i="8"/>
  <c r="P181" i="8"/>
  <c r="S181" i="8" s="1"/>
  <c r="Q181" i="8"/>
  <c r="P147" i="8"/>
  <c r="S147" i="8" s="1"/>
  <c r="Q147" i="8"/>
  <c r="Q145" i="8"/>
  <c r="P145" i="8"/>
  <c r="S145" i="8" s="1"/>
  <c r="P154" i="8"/>
  <c r="S154" i="8" s="1"/>
  <c r="Q154" i="8"/>
  <c r="P146" i="8"/>
  <c r="S146" i="8" s="1"/>
  <c r="Q146" i="8"/>
  <c r="Q149" i="8"/>
  <c r="P149" i="8"/>
  <c r="S149" i="8" s="1"/>
  <c r="Q157" i="8"/>
  <c r="P157" i="8"/>
  <c r="S157" i="8" s="1"/>
  <c r="P124" i="8"/>
  <c r="S124" i="8" s="1"/>
  <c r="Q124" i="8"/>
  <c r="P108" i="8"/>
  <c r="S108" i="8" s="1"/>
  <c r="Q108" i="8"/>
  <c r="P107" i="8"/>
  <c r="S107" i="8" s="1"/>
  <c r="Q107" i="8"/>
  <c r="P252" i="8"/>
  <c r="S252" i="8" s="1"/>
  <c r="U252" i="8" s="1"/>
  <c r="Q252" i="8"/>
  <c r="P251" i="8"/>
  <c r="S251" i="8" s="1"/>
  <c r="U251" i="8" s="1"/>
  <c r="Q251" i="8"/>
  <c r="P249" i="8"/>
  <c r="S249" i="8" s="1"/>
  <c r="U249" i="8" s="1"/>
  <c r="Q246" i="8"/>
  <c r="P246" i="8"/>
  <c r="S246" i="8" s="1"/>
  <c r="U246" i="8" s="1"/>
  <c r="Q43" i="8"/>
  <c r="P43" i="8"/>
  <c r="S43" i="8" s="1"/>
  <c r="U43" i="8" s="1"/>
  <c r="Q41" i="8"/>
  <c r="P41" i="8"/>
  <c r="S41" i="8" s="1"/>
  <c r="P40" i="8"/>
  <c r="S40" i="8" s="1"/>
  <c r="Q40" i="8"/>
  <c r="P42" i="8"/>
  <c r="S42" i="8" s="1"/>
  <c r="Q42" i="8"/>
  <c r="P37" i="8"/>
  <c r="S37" i="8" s="1"/>
  <c r="U37" i="8" s="1"/>
  <c r="Q35" i="8"/>
  <c r="P35" i="8"/>
  <c r="S35" i="8" s="1"/>
  <c r="U35" i="8" s="1"/>
  <c r="Q34" i="8"/>
  <c r="P34" i="8"/>
  <c r="S34" i="8" s="1"/>
  <c r="P36" i="8"/>
  <c r="S36" i="8" s="1"/>
  <c r="U36" i="8" s="1"/>
  <c r="Q36" i="8"/>
  <c r="R267" i="8"/>
  <c r="Q138" i="8"/>
  <c r="P138" i="8"/>
  <c r="S138" i="8" s="1"/>
  <c r="P126" i="8"/>
  <c r="S126" i="8" s="1"/>
  <c r="Q126" i="8"/>
  <c r="Q212" i="8"/>
  <c r="P212" i="8"/>
  <c r="S212" i="8" s="1"/>
  <c r="U212" i="8" s="1"/>
  <c r="P216" i="8"/>
  <c r="S216" i="8" s="1"/>
  <c r="U216" i="8" s="1"/>
  <c r="Q216" i="8"/>
  <c r="S217" i="8"/>
  <c r="U217" i="8" s="1"/>
  <c r="Q217" i="8"/>
  <c r="P213" i="8"/>
  <c r="S213" i="8" s="1"/>
  <c r="U213" i="8" s="1"/>
  <c r="Q213" i="8"/>
  <c r="P214" i="8"/>
  <c r="S214" i="8" s="1"/>
  <c r="U214" i="8" s="1"/>
  <c r="Q214" i="8"/>
  <c r="P211" i="8"/>
  <c r="S211" i="8" s="1"/>
  <c r="U211" i="8" s="1"/>
  <c r="Q211" i="8"/>
  <c r="Q210" i="8"/>
  <c r="R209" i="8" s="1"/>
  <c r="P210" i="8"/>
  <c r="S210" i="8" s="1"/>
  <c r="Q137" i="8"/>
  <c r="P137" i="8"/>
  <c r="S137" i="8" s="1"/>
  <c r="P119" i="8"/>
  <c r="S119" i="8" s="1"/>
  <c r="U119" i="8" s="1"/>
  <c r="Q119" i="8"/>
  <c r="P120" i="8"/>
  <c r="S120" i="8" s="1"/>
  <c r="U120" i="8" s="1"/>
  <c r="Q120" i="8"/>
  <c r="Q118" i="8"/>
  <c r="P118" i="8"/>
  <c r="S118" i="8" s="1"/>
  <c r="U118" i="8" s="1"/>
  <c r="Q115" i="8"/>
  <c r="P115" i="8"/>
  <c r="S115" i="8" s="1"/>
  <c r="U115" i="8" s="1"/>
  <c r="P75" i="8"/>
  <c r="S75" i="8" s="1"/>
  <c r="U75" i="8" s="1"/>
  <c r="Q75" i="8"/>
  <c r="P74" i="8"/>
  <c r="S74" i="8" s="1"/>
  <c r="U74" i="8" s="1"/>
  <c r="Q74" i="8"/>
  <c r="P76" i="8"/>
  <c r="S76" i="8" s="1"/>
  <c r="U76" i="8" s="1"/>
  <c r="Q76" i="8"/>
  <c r="P68" i="8"/>
  <c r="S68" i="8" s="1"/>
  <c r="U68" i="8" s="1"/>
  <c r="Q68" i="8"/>
  <c r="Q67" i="8"/>
  <c r="P67" i="8"/>
  <c r="S67" i="8" s="1"/>
  <c r="U67" i="8" s="1"/>
  <c r="Q39" i="8"/>
  <c r="P39" i="8"/>
  <c r="S39" i="8" s="1"/>
  <c r="Q259" i="8"/>
  <c r="P259" i="8"/>
  <c r="S259" i="8" s="1"/>
  <c r="U259" i="8" s="1"/>
  <c r="P19" i="8"/>
  <c r="Q267" i="8"/>
  <c r="Q117" i="8"/>
  <c r="P117" i="8"/>
  <c r="S117" i="8" s="1"/>
  <c r="U117" i="8" s="1"/>
  <c r="Q19" i="8"/>
  <c r="Q109" i="8"/>
  <c r="P109" i="8"/>
  <c r="S109" i="8" s="1"/>
  <c r="R81" i="8"/>
  <c r="Q53" i="8"/>
  <c r="Q52" i="8" s="1"/>
  <c r="P53" i="8"/>
  <c r="S53" i="8" s="1"/>
  <c r="R63" i="8"/>
  <c r="R61" i="8" s="1"/>
  <c r="P63" i="8"/>
  <c r="S63" i="8" s="1"/>
  <c r="R73" i="8"/>
  <c r="P73" i="8"/>
  <c r="S73" i="8" s="1"/>
  <c r="U73" i="8" s="1"/>
  <c r="P48" i="8"/>
  <c r="S48" i="8" s="1"/>
  <c r="U48" i="8" s="1"/>
  <c r="R48" i="8"/>
  <c r="R47" i="8" s="1"/>
  <c r="R46" i="8" s="1"/>
  <c r="Q260" i="8"/>
  <c r="P260" i="8"/>
  <c r="S260" i="8" s="1"/>
  <c r="Q60" i="8"/>
  <c r="P60" i="8"/>
  <c r="S60" i="8" s="1"/>
  <c r="Q45" i="8"/>
  <c r="P45" i="8"/>
  <c r="S45" i="8" s="1"/>
  <c r="R30" i="8"/>
  <c r="Q25" i="8"/>
  <c r="P25" i="8"/>
  <c r="S25" i="8" s="1"/>
  <c r="I21" i="1"/>
  <c r="L21" i="1" s="1"/>
  <c r="N21" i="1" s="1"/>
  <c r="L49" i="1"/>
  <c r="L28" i="1"/>
  <c r="I40" i="1"/>
  <c r="L40" i="1" s="1"/>
  <c r="N40" i="1" s="1"/>
  <c r="N32" i="1"/>
  <c r="N50" i="1"/>
  <c r="N54" i="1"/>
  <c r="N13" i="1"/>
  <c r="N52" i="1"/>
  <c r="N51" i="1"/>
  <c r="N29" i="1"/>
  <c r="N56" i="1"/>
  <c r="N45" i="1"/>
  <c r="N48" i="1"/>
  <c r="N33" i="1"/>
  <c r="N34" i="1"/>
  <c r="N36" i="1"/>
  <c r="N46" i="1"/>
  <c r="N53" i="1"/>
  <c r="I59" i="1"/>
  <c r="L59" i="1" s="1"/>
  <c r="L44" i="1"/>
  <c r="L31" i="1"/>
  <c r="K19" i="1"/>
  <c r="J28" i="1"/>
  <c r="J49" i="1"/>
  <c r="J55" i="1"/>
  <c r="J35" i="1"/>
  <c r="L20" i="1"/>
  <c r="J31" i="1"/>
  <c r="J44" i="1"/>
  <c r="K28" i="1"/>
  <c r="Q24" i="8" l="1"/>
  <c r="S24" i="8"/>
  <c r="Q72" i="8"/>
  <c r="Q71" i="8" s="1"/>
  <c r="S56" i="8"/>
  <c r="U58" i="8"/>
  <c r="U56" i="8" s="1"/>
  <c r="U53" i="8"/>
  <c r="U52" i="8" s="1"/>
  <c r="S52" i="8"/>
  <c r="U241" i="8"/>
  <c r="U244" i="8"/>
  <c r="U242" i="8"/>
  <c r="U243" i="8"/>
  <c r="U224" i="8"/>
  <c r="U220" i="8"/>
  <c r="U191" i="8"/>
  <c r="U194" i="8"/>
  <c r="U186" i="8"/>
  <c r="U198" i="8"/>
  <c r="U183" i="8"/>
  <c r="U190" i="8"/>
  <c r="U189" i="8"/>
  <c r="U184" i="8"/>
  <c r="U181" i="8"/>
  <c r="U157" i="8"/>
  <c r="U145" i="8"/>
  <c r="U146" i="8"/>
  <c r="U149" i="8"/>
  <c r="U154" i="8"/>
  <c r="U147" i="8"/>
  <c r="U124" i="8"/>
  <c r="U107" i="8"/>
  <c r="U108" i="8"/>
  <c r="U39" i="8"/>
  <c r="S38" i="8"/>
  <c r="Q38" i="8"/>
  <c r="U41" i="8"/>
  <c r="U42" i="8"/>
  <c r="U40" i="8"/>
  <c r="S33" i="8"/>
  <c r="Q33" i="8"/>
  <c r="U34" i="8"/>
  <c r="U33" i="8" s="1"/>
  <c r="Q11" i="8"/>
  <c r="D19" i="7"/>
  <c r="Q180" i="8"/>
  <c r="Q158" i="8" s="1"/>
  <c r="R180" i="8"/>
  <c r="R158" i="8" s="1"/>
  <c r="S180" i="8"/>
  <c r="P180" i="8"/>
  <c r="U138" i="8"/>
  <c r="Q82" i="8"/>
  <c r="S82" i="8"/>
  <c r="U126" i="8"/>
  <c r="Q209" i="8"/>
  <c r="S209" i="8"/>
  <c r="U210" i="8"/>
  <c r="Q136" i="8"/>
  <c r="U137" i="8"/>
  <c r="S136" i="8"/>
  <c r="S19" i="8"/>
  <c r="U109" i="8"/>
  <c r="U63" i="8"/>
  <c r="S61" i="8"/>
  <c r="R245" i="8"/>
  <c r="U60" i="8"/>
  <c r="U25" i="8"/>
  <c r="U24" i="8" s="1"/>
  <c r="U45" i="8"/>
  <c r="U44" i="8" s="1"/>
  <c r="U260" i="8"/>
  <c r="N28" i="1"/>
  <c r="N35" i="1"/>
  <c r="L35" i="1"/>
  <c r="N44" i="1"/>
  <c r="N31" i="1"/>
  <c r="N49" i="1"/>
  <c r="Q253" i="8"/>
  <c r="N59" i="1"/>
  <c r="N20" i="1"/>
  <c r="S253" i="8"/>
  <c r="S44" i="8"/>
  <c r="S31" i="8"/>
  <c r="Q245" i="8"/>
  <c r="S47" i="8"/>
  <c r="S46" i="8" s="1"/>
  <c r="Q47" i="8"/>
  <c r="Q49" i="8"/>
  <c r="Q44" i="8"/>
  <c r="Q61" i="8"/>
  <c r="Q65" i="8"/>
  <c r="Q59" i="8"/>
  <c r="Q31" i="8"/>
  <c r="D29" i="7" l="1"/>
  <c r="D31" i="7"/>
  <c r="U38" i="8"/>
  <c r="Q46" i="8"/>
  <c r="E19" i="7"/>
  <c r="S158" i="8"/>
  <c r="U180" i="8"/>
  <c r="U158" i="8" s="1"/>
  <c r="U82" i="8"/>
  <c r="U209" i="8"/>
  <c r="U136" i="8"/>
  <c r="S267" i="8"/>
  <c r="S11" i="8"/>
  <c r="U19" i="8"/>
  <c r="U11" i="8" s="1"/>
  <c r="Q81" i="8"/>
  <c r="S81" i="8"/>
  <c r="U253" i="8"/>
  <c r="S30" i="8"/>
  <c r="Q30" i="8"/>
  <c r="U31" i="8"/>
  <c r="U245" i="8"/>
  <c r="S245" i="8"/>
  <c r="U47" i="8"/>
  <c r="D21" i="7"/>
  <c r="E25" i="7" l="1"/>
  <c r="E31" i="7"/>
  <c r="D16" i="7"/>
  <c r="E30" i="7"/>
  <c r="D30" i="7"/>
  <c r="E16" i="7"/>
  <c r="E29" i="7"/>
  <c r="U30" i="8"/>
  <c r="U46" i="8"/>
  <c r="E21" i="7" s="1"/>
  <c r="U81" i="8"/>
  <c r="D24" i="7"/>
  <c r="D20" i="7"/>
  <c r="E24" i="7" l="1"/>
  <c r="E20" i="7"/>
  <c r="R72" i="8"/>
  <c r="R71" i="8" s="1"/>
  <c r="R65" i="8" l="1"/>
  <c r="R59" i="8"/>
  <c r="U61" i="8" l="1"/>
  <c r="S72" i="8"/>
  <c r="U72" i="8"/>
  <c r="S65" i="8"/>
  <c r="S59" i="8"/>
  <c r="U71" i="8" l="1"/>
  <c r="S71" i="8"/>
  <c r="U59" i="8"/>
  <c r="U65" i="8"/>
  <c r="D23" i="7" l="1"/>
  <c r="E23" i="7"/>
  <c r="D25" i="7"/>
  <c r="J19" i="1" l="1"/>
  <c r="J18" i="1" s="1"/>
  <c r="L19" i="1"/>
  <c r="N12" i="2"/>
  <c r="N19" i="1" l="1"/>
  <c r="K58" i="1" l="1"/>
  <c r="I58" i="1"/>
  <c r="L58" i="1" s="1"/>
  <c r="N58" i="1" l="1"/>
  <c r="J12" i="1" l="1"/>
  <c r="J11" i="1" l="1"/>
  <c r="J10" i="1" s="1"/>
  <c r="J61" i="1" s="1"/>
  <c r="K12" i="1"/>
  <c r="K11" i="1" s="1"/>
  <c r="I12" i="1"/>
  <c r="L12" i="1" l="1"/>
  <c r="N12" i="1" l="1"/>
  <c r="N11" i="1" s="1"/>
  <c r="E13" i="7" s="1"/>
  <c r="L11" i="1"/>
  <c r="D13" i="7" l="1"/>
  <c r="U267" i="8" l="1"/>
  <c r="S70" i="8" l="1"/>
  <c r="U70" i="8" s="1"/>
  <c r="R70" i="8"/>
  <c r="Q70" i="8"/>
  <c r="Q69" i="8" l="1"/>
  <c r="S69" i="8"/>
  <c r="S51" i="8" s="1"/>
  <c r="R69" i="8"/>
  <c r="S10" i="8" l="1"/>
  <c r="D22" i="7"/>
  <c r="D15" i="7" s="1"/>
  <c r="F16" i="7" s="1"/>
  <c r="R51" i="8"/>
  <c r="R10" i="8" s="1"/>
  <c r="Q51" i="8"/>
  <c r="Q10" i="8" s="1"/>
  <c r="U69" i="8"/>
  <c r="U51" i="8" s="1"/>
  <c r="U10" i="8" l="1"/>
  <c r="R262" i="8"/>
  <c r="Q262" i="8"/>
  <c r="E22" i="7"/>
  <c r="E15" i="7" s="1"/>
  <c r="S262" i="8"/>
  <c r="U262" i="8" l="1"/>
  <c r="U264" i="8" s="1"/>
  <c r="D134" i="3"/>
  <c r="G134" i="3" l="1"/>
  <c r="F53" i="2" s="1"/>
  <c r="H53" i="2" s="1"/>
  <c r="H52" i="2" s="1"/>
  <c r="H57" i="1" s="1"/>
  <c r="F27" i="7"/>
  <c r="F26" i="7"/>
  <c r="F17" i="7"/>
  <c r="F23" i="7"/>
  <c r="F28" i="7"/>
  <c r="F21" i="7"/>
  <c r="F30" i="7"/>
  <c r="F15" i="7"/>
  <c r="F19" i="7"/>
  <c r="F20" i="7"/>
  <c r="F31" i="7"/>
  <c r="F29" i="7"/>
  <c r="F24" i="7"/>
  <c r="F25" i="7"/>
  <c r="F18" i="7"/>
  <c r="F22" i="7"/>
  <c r="S264" i="8"/>
  <c r="S270" i="8"/>
  <c r="S268" i="8"/>
  <c r="Q268" i="8"/>
  <c r="R268" i="8"/>
  <c r="N52" i="2" l="1"/>
  <c r="I57" i="1"/>
  <c r="K57" i="1"/>
  <c r="K55" i="1" s="1"/>
  <c r="K18" i="1" s="1"/>
  <c r="K10" i="1" s="1"/>
  <c r="K61" i="1" s="1"/>
  <c r="L57" i="1" l="1"/>
  <c r="K68" i="1"/>
  <c r="L55" i="1" l="1"/>
  <c r="N57" i="1"/>
  <c r="N55" i="1" s="1"/>
  <c r="N18" i="1" s="1"/>
  <c r="E14" i="7" l="1"/>
  <c r="N10" i="1"/>
  <c r="N61" i="1" s="1"/>
  <c r="L18" i="1"/>
  <c r="F40" i="7" l="1"/>
  <c r="E12" i="7"/>
  <c r="E33" i="7" s="1"/>
  <c r="L10" i="1"/>
  <c r="D14" i="7"/>
  <c r="E35" i="7" l="1"/>
  <c r="E17" i="6"/>
  <c r="N220" i="12" s="1"/>
  <c r="F41" i="7"/>
  <c r="D12" i="7"/>
  <c r="F14" i="7" s="1"/>
  <c r="L61" i="1"/>
  <c r="I2" i="3" l="1"/>
  <c r="K71" i="1"/>
  <c r="L63" i="1"/>
  <c r="K70" i="1"/>
  <c r="K69" i="1"/>
  <c r="F13" i="7"/>
  <c r="F12" i="7" s="1"/>
  <c r="D33" i="7"/>
  <c r="V215" i="8" l="1"/>
  <c r="V248" i="8"/>
  <c r="V250" i="8"/>
  <c r="V257" i="8"/>
  <c r="V256" i="8"/>
  <c r="V258" i="8"/>
  <c r="V255" i="8"/>
  <c r="V58" i="8"/>
  <c r="V247" i="8"/>
  <c r="V77" i="8"/>
  <c r="V78" i="8"/>
  <c r="V54" i="8"/>
  <c r="V55" i="8"/>
  <c r="V27" i="8"/>
  <c r="V29" i="8"/>
  <c r="V26" i="8"/>
  <c r="V28" i="8"/>
  <c r="V18" i="8"/>
  <c r="V16" i="8"/>
  <c r="V17" i="8"/>
  <c r="V15" i="8"/>
  <c r="V12" i="8"/>
  <c r="V13" i="8"/>
  <c r="V230" i="8"/>
  <c r="V235" i="8"/>
  <c r="V228" i="8"/>
  <c r="V229" i="8"/>
  <c r="V231" i="8"/>
  <c r="V240" i="8"/>
  <c r="V237" i="8"/>
  <c r="V238" i="8"/>
  <c r="V236" i="8"/>
  <c r="V239" i="8"/>
  <c r="V233" i="8"/>
  <c r="V234" i="8"/>
  <c r="V232" i="8"/>
  <c r="V241" i="8"/>
  <c r="V227" i="8"/>
  <c r="V226" i="8"/>
  <c r="V243" i="8"/>
  <c r="V242" i="8"/>
  <c r="V244" i="8"/>
  <c r="V223" i="8"/>
  <c r="V218" i="8"/>
  <c r="V219" i="8"/>
  <c r="V222" i="8"/>
  <c r="V225" i="8"/>
  <c r="V221" i="8"/>
  <c r="V224" i="8"/>
  <c r="V220" i="8"/>
  <c r="V163" i="8"/>
  <c r="V167" i="8"/>
  <c r="V171" i="8"/>
  <c r="V175" i="8"/>
  <c r="V179" i="8"/>
  <c r="V176" i="8"/>
  <c r="V164" i="8"/>
  <c r="V168" i="8"/>
  <c r="V172" i="8"/>
  <c r="V177" i="8"/>
  <c r="V161" i="8"/>
  <c r="V170" i="8"/>
  <c r="V162" i="8"/>
  <c r="V173" i="8"/>
  <c r="V169" i="8"/>
  <c r="V178" i="8"/>
  <c r="V166" i="8"/>
  <c r="V174" i="8"/>
  <c r="V165" i="8"/>
  <c r="V188" i="8"/>
  <c r="V192" i="8"/>
  <c r="V196" i="8"/>
  <c r="V200" i="8"/>
  <c r="V197" i="8"/>
  <c r="V201" i="8"/>
  <c r="V193" i="8"/>
  <c r="V199" i="8"/>
  <c r="V187" i="8"/>
  <c r="V182" i="8"/>
  <c r="V195" i="8"/>
  <c r="V185" i="8"/>
  <c r="V202" i="8"/>
  <c r="V194" i="8"/>
  <c r="V191" i="8"/>
  <c r="V186" i="8"/>
  <c r="V183" i="8"/>
  <c r="V189" i="8"/>
  <c r="V190" i="8"/>
  <c r="V184" i="8"/>
  <c r="V198" i="8"/>
  <c r="V181" i="8"/>
  <c r="V142" i="8"/>
  <c r="V150" i="8"/>
  <c r="V143" i="8"/>
  <c r="V144" i="8"/>
  <c r="V141" i="8"/>
  <c r="V152" i="8"/>
  <c r="V156" i="8"/>
  <c r="V140" i="8"/>
  <c r="V155" i="8"/>
  <c r="V153" i="8"/>
  <c r="V148" i="8"/>
  <c r="V151" i="8"/>
  <c r="V146" i="8"/>
  <c r="V154" i="8"/>
  <c r="V157" i="8"/>
  <c r="V145" i="8"/>
  <c r="V149" i="8"/>
  <c r="V147" i="8"/>
  <c r="V139" i="8"/>
  <c r="V130" i="8"/>
  <c r="V134" i="8"/>
  <c r="V128" i="8"/>
  <c r="V129" i="8"/>
  <c r="V132" i="8"/>
  <c r="V135" i="8"/>
  <c r="V133" i="8"/>
  <c r="V131" i="8"/>
  <c r="V127" i="8"/>
  <c r="V121" i="8"/>
  <c r="V123" i="8"/>
  <c r="V122" i="8"/>
  <c r="V124" i="8"/>
  <c r="V110" i="8"/>
  <c r="V113" i="8"/>
  <c r="V112" i="8"/>
  <c r="V111" i="8"/>
  <c r="V106" i="8"/>
  <c r="V107" i="8"/>
  <c r="V108" i="8"/>
  <c r="V100" i="8"/>
  <c r="V98" i="8"/>
  <c r="V102" i="8"/>
  <c r="V97" i="8"/>
  <c r="V99" i="8"/>
  <c r="V103" i="8"/>
  <c r="V101" i="8"/>
  <c r="V85" i="8"/>
  <c r="V88" i="8"/>
  <c r="V87" i="8"/>
  <c r="V86" i="8"/>
  <c r="V89" i="8"/>
  <c r="V94" i="8"/>
  <c r="V92" i="8"/>
  <c r="V96" i="8"/>
  <c r="V93" i="8"/>
  <c r="V95" i="8"/>
  <c r="V90" i="8"/>
  <c r="V91" i="8"/>
  <c r="V43" i="8"/>
  <c r="V251" i="8"/>
  <c r="V246" i="8"/>
  <c r="V249" i="8"/>
  <c r="V252" i="8"/>
  <c r="V41" i="8"/>
  <c r="V40" i="8"/>
  <c r="V42" i="8"/>
  <c r="V37" i="8"/>
  <c r="V36" i="8"/>
  <c r="V14" i="8"/>
  <c r="V180" i="8"/>
  <c r="V160" i="8"/>
  <c r="V138" i="8"/>
  <c r="V125" i="8"/>
  <c r="V126" i="8"/>
  <c r="G16" i="7"/>
  <c r="V259" i="8"/>
  <c r="V214" i="8"/>
  <c r="V217" i="8"/>
  <c r="V213" i="8"/>
  <c r="V212" i="8"/>
  <c r="V216" i="8"/>
  <c r="G27" i="7"/>
  <c r="G26" i="7"/>
  <c r="V211" i="8"/>
  <c r="V205" i="8"/>
  <c r="V206" i="8"/>
  <c r="V203" i="8"/>
  <c r="V204" i="8"/>
  <c r="V19" i="8"/>
  <c r="V114" i="8"/>
  <c r="V118" i="8"/>
  <c r="V104" i="8"/>
  <c r="V120" i="8"/>
  <c r="V117" i="8"/>
  <c r="V84" i="8"/>
  <c r="V105" i="8"/>
  <c r="V115" i="8"/>
  <c r="V116" i="8"/>
  <c r="V83" i="8"/>
  <c r="V119" i="8"/>
  <c r="V109" i="8"/>
  <c r="V80" i="8"/>
  <c r="V79" i="8"/>
  <c r="V76" i="8"/>
  <c r="V75" i="8"/>
  <c r="V74" i="8"/>
  <c r="V68" i="8"/>
  <c r="V11" i="8"/>
  <c r="G12" i="7"/>
  <c r="O13" i="1"/>
  <c r="O52" i="1"/>
  <c r="O14" i="1"/>
  <c r="V64" i="8"/>
  <c r="O24" i="1"/>
  <c r="V63" i="8"/>
  <c r="V50" i="8"/>
  <c r="V59" i="8"/>
  <c r="O32" i="1"/>
  <c r="G30" i="7"/>
  <c r="V136" i="8"/>
  <c r="G19" i="7"/>
  <c r="V254" i="8"/>
  <c r="O46" i="1"/>
  <c r="G31" i="7"/>
  <c r="G23" i="7"/>
  <c r="V245" i="8"/>
  <c r="O20" i="1"/>
  <c r="V52" i="8"/>
  <c r="G17" i="7"/>
  <c r="V66" i="8"/>
  <c r="O37" i="1"/>
  <c r="V61" i="8"/>
  <c r="V158" i="8"/>
  <c r="O50" i="1"/>
  <c r="O30" i="1"/>
  <c r="V67" i="8"/>
  <c r="O29" i="1"/>
  <c r="V253" i="8"/>
  <c r="O53" i="1"/>
  <c r="V208" i="8"/>
  <c r="V32" i="8"/>
  <c r="V82" i="8"/>
  <c r="G18" i="7"/>
  <c r="O19" i="1"/>
  <c r="V24" i="8"/>
  <c r="V71" i="8"/>
  <c r="V22" i="8"/>
  <c r="O33" i="1"/>
  <c r="O42" i="1"/>
  <c r="G21" i="7"/>
  <c r="V45" i="8"/>
  <c r="O11" i="1"/>
  <c r="V23" i="8"/>
  <c r="O27" i="1"/>
  <c r="O47" i="1"/>
  <c r="O43" i="1"/>
  <c r="O59" i="1"/>
  <c r="O15" i="1"/>
  <c r="O31" i="1"/>
  <c r="V53" i="8"/>
  <c r="G25" i="7"/>
  <c r="O58" i="1"/>
  <c r="G33" i="7"/>
  <c r="O21" i="1"/>
  <c r="V33" i="8"/>
  <c r="V73" i="8"/>
  <c r="V62" i="8"/>
  <c r="V56" i="8"/>
  <c r="V25" i="8"/>
  <c r="V39" i="8"/>
  <c r="V44" i="8"/>
  <c r="O44" i="1"/>
  <c r="O41" i="1"/>
  <c r="G20" i="7"/>
  <c r="O54" i="1"/>
  <c r="O23" i="1"/>
  <c r="G13" i="7"/>
  <c r="O38" i="1"/>
  <c r="V35" i="8"/>
  <c r="O39" i="1"/>
  <c r="V30" i="8"/>
  <c r="O36" i="1"/>
  <c r="V207" i="8"/>
  <c r="V260" i="8"/>
  <c r="O49" i="1"/>
  <c r="O25" i="1"/>
  <c r="V46" i="8"/>
  <c r="V21" i="8"/>
  <c r="V60" i="8"/>
  <c r="O48" i="1"/>
  <c r="O12" i="1"/>
  <c r="O51" i="1"/>
  <c r="V49" i="8"/>
  <c r="G24" i="7"/>
  <c r="O45" i="1"/>
  <c r="O26" i="1"/>
  <c r="V209" i="8"/>
  <c r="O17" i="1"/>
  <c r="V38" i="8"/>
  <c r="V159" i="8"/>
  <c r="O16" i="1"/>
  <c r="O56" i="1"/>
  <c r="V57" i="8"/>
  <c r="O28" i="1"/>
  <c r="O35" i="1"/>
  <c r="I1" i="5"/>
  <c r="O22" i="1"/>
  <c r="G29" i="7"/>
  <c r="V20" i="8"/>
  <c r="V65" i="8"/>
  <c r="V31" i="8"/>
  <c r="O40" i="1"/>
  <c r="G28" i="7"/>
  <c r="V210" i="8"/>
  <c r="D35" i="7"/>
  <c r="V47" i="8"/>
  <c r="O34" i="1"/>
  <c r="V81" i="8"/>
  <c r="V34" i="8"/>
  <c r="V72" i="8"/>
  <c r="V137" i="8"/>
  <c r="V48" i="8"/>
  <c r="V70" i="8"/>
  <c r="V69" i="8"/>
  <c r="V51" i="8"/>
  <c r="V10" i="8"/>
  <c r="G22" i="7"/>
  <c r="G15" i="7"/>
  <c r="O57" i="1"/>
  <c r="O55" i="1"/>
  <c r="O18" i="1"/>
  <c r="O10" i="1"/>
  <c r="G14" i="7"/>
  <c r="F20" i="6" l="1"/>
  <c r="H1" i="3"/>
</calcChain>
</file>

<file path=xl/comments1.xml><?xml version="1.0" encoding="utf-8"?>
<comments xmlns="http://schemas.openxmlformats.org/spreadsheetml/2006/main">
  <authors>
    <author>Roberta</author>
  </authors>
  <commentList>
    <comment ref="G118" authorId="0" shapeId="0">
      <text>
        <r>
          <rPr>
            <b/>
            <sz val="9"/>
            <color indexed="81"/>
            <rFont val="Segoe UI"/>
            <family val="2"/>
          </rPr>
          <t>Roberta:</t>
        </r>
        <r>
          <rPr>
            <sz val="9"/>
            <color indexed="81"/>
            <rFont val="Segoe UI"/>
            <family val="2"/>
          </rPr>
          <t xml:space="preserve">
1,7KG/M2/MM
CONSIDERADO 5MM</t>
        </r>
      </text>
    </comment>
    <comment ref="G123" authorId="0" shapeId="0">
      <text>
        <r>
          <rPr>
            <b/>
            <sz val="9"/>
            <color indexed="81"/>
            <rFont val="Segoe UI"/>
            <family val="2"/>
          </rPr>
          <t>RENDIMENTO PISOFIX 
1 GL = 3,5KG = 15M2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<sst xmlns="http://schemas.openxmlformats.org/spreadsheetml/2006/main" count="2989" uniqueCount="970">
  <si>
    <t>ITEM</t>
  </si>
  <si>
    <t>DESCRIÇÃO</t>
  </si>
  <si>
    <t>QTD</t>
  </si>
  <si>
    <t>UND</t>
  </si>
  <si>
    <t>Obra:</t>
  </si>
  <si>
    <t>Endereço:</t>
  </si>
  <si>
    <t>Cidade:</t>
  </si>
  <si>
    <t>Tipo de obra:</t>
  </si>
  <si>
    <t>M.O.</t>
  </si>
  <si>
    <t>MAT.</t>
  </si>
  <si>
    <t>TOTAL</t>
  </si>
  <si>
    <t>Data:</t>
  </si>
  <si>
    <t>Versão:</t>
  </si>
  <si>
    <t>BDI:</t>
  </si>
  <si>
    <t>COMPOSIÇÕES DE CUSTO</t>
  </si>
  <si>
    <t>DISCRIMINAÇÃO</t>
  </si>
  <si>
    <t>UN.</t>
  </si>
  <si>
    <t>MAT</t>
  </si>
  <si>
    <t>CUSTO</t>
  </si>
  <si>
    <t>COEF</t>
  </si>
  <si>
    <t>TOT MAT</t>
  </si>
  <si>
    <t>MO</t>
  </si>
  <si>
    <t>TOT MO</t>
  </si>
  <si>
    <t>ÚLTIMA REVISÃO</t>
  </si>
  <si>
    <t>PREÇOS UNITÁRIOS - MATERIAIS</t>
  </si>
  <si>
    <t>R00</t>
  </si>
  <si>
    <t>PREÇOS UNITÁRIOS - MÃO DE OBRA</t>
  </si>
  <si>
    <t>CUSTO C/ LS</t>
  </si>
  <si>
    <t>R$/m² =</t>
  </si>
  <si>
    <t>DADOS GERAIS</t>
  </si>
  <si>
    <t>Valor total do Orçamento:</t>
  </si>
  <si>
    <t>Custo por m²:</t>
  </si>
  <si>
    <t>Controle de atualizações:</t>
  </si>
  <si>
    <t>CONSTRUTORA:</t>
  </si>
  <si>
    <t>Consumos</t>
  </si>
  <si>
    <t>Pavimentação</t>
  </si>
  <si>
    <t>Instalações Mecânicas</t>
  </si>
  <si>
    <t>1.</t>
  </si>
  <si>
    <t>Construção, instalação e manutenção de canteiro de obras</t>
  </si>
  <si>
    <t>Coberturas e proteções</t>
  </si>
  <si>
    <t>TOTAL (R$) =</t>
  </si>
  <si>
    <t>ÁREA (m²) =</t>
  </si>
  <si>
    <t>H</t>
  </si>
  <si>
    <t>P.U.</t>
  </si>
  <si>
    <t>REF.</t>
  </si>
  <si>
    <t>TOTAL COMP.</t>
  </si>
  <si>
    <t>UNID.</t>
  </si>
  <si>
    <t>MATERIAL DE CONSUMO ESCRITÓRIO</t>
  </si>
  <si>
    <t>EXTINTOR DE INCENDIO AGUA 10L</t>
  </si>
  <si>
    <t>Administração da obra</t>
  </si>
  <si>
    <t>DESPESAS INDIRETAS</t>
  </si>
  <si>
    <t>CUSTO MATERIAL</t>
  </si>
  <si>
    <t>CUSTO MÃO DE OBRA</t>
  </si>
  <si>
    <t>SERVIÇO</t>
  </si>
  <si>
    <t>PREÇO TOTAL (R$)</t>
  </si>
  <si>
    <t>PREÇO UNITÁRIO (R$)</t>
  </si>
  <si>
    <t>% (total orç.)</t>
  </si>
  <si>
    <t>% (un. constru.)</t>
  </si>
  <si>
    <t>M</t>
  </si>
  <si>
    <t>L</t>
  </si>
  <si>
    <t>UN</t>
  </si>
  <si>
    <t>M2</t>
  </si>
  <si>
    <t>Prazo (mês):</t>
  </si>
  <si>
    <t>QSMS</t>
  </si>
  <si>
    <t>Limpeza permanente da obra</t>
  </si>
  <si>
    <t>CORREÇÃO INCC
DO PERÍODO</t>
  </si>
  <si>
    <t>MES</t>
  </si>
  <si>
    <t>Cidade</t>
  </si>
  <si>
    <t>Paredes e Painéis</t>
  </si>
  <si>
    <t>MERCADO</t>
  </si>
  <si>
    <t xml:space="preserve">Prazo de obra (meses): </t>
  </si>
  <si>
    <t>CONSUMO LÓGICA E TELEFONIA</t>
  </si>
  <si>
    <t>MÊS</t>
  </si>
  <si>
    <t>ESTIMATIVA</t>
  </si>
  <si>
    <t>CAÇAMBA 4M3 - LOCAÇÃO</t>
  </si>
  <si>
    <t>COPIAS DE PROJETOS</t>
  </si>
  <si>
    <t>MEDICAMENTOS</t>
  </si>
  <si>
    <t xml:space="preserve">PLACAS DE SINALIZAÇÃO DE SEGURANÇA E INDICATIVAS </t>
  </si>
  <si>
    <t>Pinturas externas</t>
  </si>
  <si>
    <t>Pavimentação interna</t>
  </si>
  <si>
    <t>Pavimentação externa</t>
  </si>
  <si>
    <t>PLACA SINALIZADORA PARA EXTINTOR</t>
  </si>
  <si>
    <t xml:space="preserve">BDI = </t>
  </si>
  <si>
    <t>RESUMO - PLANILHA ORÇAMENTÁRIA</t>
  </si>
  <si>
    <t>TOTAL 
(s/ BDI)</t>
  </si>
  <si>
    <t>Prazo (meses):</t>
  </si>
  <si>
    <t>x</t>
  </si>
  <si>
    <t>CONFERENCIA</t>
  </si>
  <si>
    <t>COPIAS DE  DOCUMENTOS</t>
  </si>
  <si>
    <t>MDO</t>
  </si>
  <si>
    <t>2.</t>
  </si>
  <si>
    <t>Infraestrutura</t>
  </si>
  <si>
    <t>Revestimentos Internos - Paredes</t>
  </si>
  <si>
    <t>Revestimentos internos - Forros</t>
  </si>
  <si>
    <t>SINAPI</t>
  </si>
  <si>
    <t>Pinturas internas - Paredes</t>
  </si>
  <si>
    <t>Serviços Complementares</t>
  </si>
  <si>
    <t>Projetos e Serviços Técnicos</t>
  </si>
  <si>
    <t>Área Construída:</t>
  </si>
  <si>
    <t>End.:</t>
  </si>
  <si>
    <t>Outras Despesas</t>
  </si>
  <si>
    <t>Revestimentos Externos</t>
  </si>
  <si>
    <t>PLACA OBRA CHAPA GALVANIZADA</t>
  </si>
  <si>
    <t>% rep.</t>
  </si>
  <si>
    <t>Instalações provisórias</t>
  </si>
  <si>
    <t>Equipamentos de uso e segurança da obra</t>
  </si>
  <si>
    <t>PLANILHA ORÇAMENTÁRIA</t>
  </si>
  <si>
    <t>Inicial</t>
  </si>
  <si>
    <t>Pinturas internas - Tetos e Forros</t>
  </si>
  <si>
    <t>Louças / Aparelhos / Metais</t>
  </si>
  <si>
    <t>SEGURO RESPONSABILIDADE CIVIL</t>
  </si>
  <si>
    <t>Supraestrutura</t>
  </si>
  <si>
    <t>CAIXA DE PASSAGEM, EM PVC, DE 4" X 2"</t>
  </si>
  <si>
    <t>-</t>
  </si>
  <si>
    <t>CÓD.</t>
  </si>
  <si>
    <t>COMP.</t>
  </si>
  <si>
    <t>SERVENTE COM ENCARGOS COMPLEMENTARES</t>
  </si>
  <si>
    <t>SINAPI 88316</t>
  </si>
  <si>
    <t>APLICAÇÃO DE FUNDO SELADOR ACRÍLICO EM PAREDES, UMA DEMÃO</t>
  </si>
  <si>
    <t>APLICAÇÃO MANUAL DE PINTURA COM TINTA LÁTEX ACRÍLICA EM PAREDES, DUAS DEMÃOS</t>
  </si>
  <si>
    <t>TOTAL 
(c/ BDI)</t>
  </si>
  <si>
    <t>BDI</t>
  </si>
  <si>
    <t>Serralherias</t>
  </si>
  <si>
    <t>NÃO CONSIDERADO</t>
  </si>
  <si>
    <t>NÃO CONSTA</t>
  </si>
  <si>
    <r>
      <t xml:space="preserve">COMUNICAÇÃO VISUAL - </t>
    </r>
    <r>
      <rPr>
        <sz val="11"/>
        <color rgb="FFFF0000"/>
        <rFont val="Calibri"/>
      </rPr>
      <t>NÃO CONSIDERADO</t>
    </r>
  </si>
  <si>
    <r>
      <t xml:space="preserve">SISTEMA CFTV - </t>
    </r>
    <r>
      <rPr>
        <sz val="11"/>
        <color rgb="FFFF0000"/>
        <rFont val="Calibri"/>
      </rPr>
      <t>NÃO CONSIDERADO</t>
    </r>
  </si>
  <si>
    <r>
      <t>MOBILIÁRIOS E EQUIPAMENTOS -</t>
    </r>
    <r>
      <rPr>
        <sz val="11"/>
        <color rgb="FFFF0000"/>
        <rFont val="Calibri"/>
      </rPr>
      <t xml:space="preserve"> NÃO CONSIDERADO</t>
    </r>
  </si>
  <si>
    <t>LIMPEZA FINAL DE OBRA</t>
  </si>
  <si>
    <t>ACIDO MURIATICO, DILUICAO 10% A 12% PARA USO EM LIMPEZA</t>
  </si>
  <si>
    <t>INSUMO SINAPI 3</t>
  </si>
  <si>
    <r>
      <t xml:space="preserve">ADMINISTRATIVO - </t>
    </r>
    <r>
      <rPr>
        <sz val="11"/>
        <color rgb="FFFF0000"/>
        <rFont val="Calibri"/>
      </rPr>
      <t>NÃO CONSIDERADO</t>
    </r>
  </si>
  <si>
    <t>TÉCNICO ST - TURNO 10%</t>
  </si>
  <si>
    <r>
      <t>LICENCIAMENTOS E APROVAÇÕES -</t>
    </r>
    <r>
      <rPr>
        <sz val="11"/>
        <color rgb="FFFF0000"/>
        <rFont val="Calibri"/>
      </rPr>
      <t xml:space="preserve"> NÃO CONSIDERADO</t>
    </r>
  </si>
  <si>
    <r>
      <t xml:space="preserve">CONSULTORIAS - </t>
    </r>
    <r>
      <rPr>
        <sz val="11"/>
        <color rgb="FFFF0000"/>
        <rFont val="Calibri"/>
      </rPr>
      <t>NÃO CONSIDERADO</t>
    </r>
  </si>
  <si>
    <r>
      <t>PROJETOS -</t>
    </r>
    <r>
      <rPr>
        <sz val="11"/>
        <color rgb="FFFF0000"/>
        <rFont val="Calibri"/>
      </rPr>
      <t xml:space="preserve"> NÃO CONSIDERADO</t>
    </r>
  </si>
  <si>
    <r>
      <t>BANHEIRO QUÍMICO -</t>
    </r>
    <r>
      <rPr>
        <sz val="11"/>
        <color rgb="FFFF0000"/>
        <rFont val="Calibri"/>
        <family val="2"/>
      </rPr>
      <t xml:space="preserve"> NÃO CONSIDERADO</t>
    </r>
  </si>
  <si>
    <r>
      <t xml:space="preserve">MANUTENÇÃO PÓS OBRA - </t>
    </r>
    <r>
      <rPr>
        <sz val="11"/>
        <color rgb="FFFF0000"/>
        <rFont val="Calibri"/>
      </rPr>
      <t>NÃO CONSIDERADO</t>
    </r>
  </si>
  <si>
    <t>LIMPEZA PERMANENTE DA OBRA E TRANSPORTES INTERNOS</t>
  </si>
  <si>
    <t>PLACA DE SINALIZAÇÃO E SEGURANÇA</t>
  </si>
  <si>
    <t>INSUMO SINAPI 37556</t>
  </si>
  <si>
    <r>
      <t xml:space="preserve">TREINAMENTOS - </t>
    </r>
    <r>
      <rPr>
        <sz val="11"/>
        <color rgb="FFFF0000"/>
        <rFont val="Calibri"/>
      </rPr>
      <t>NÃO CONSIDERADO</t>
    </r>
  </si>
  <si>
    <t>CÓPIAS DE DOCUMENTOS</t>
  </si>
  <si>
    <t>MATERIAL CONSUMO ESCRITÓRIO</t>
  </si>
  <si>
    <t>CÓPIAS DE PROJETOS</t>
  </si>
  <si>
    <r>
      <t xml:space="preserve">SERVIÇOS DE VIGILÂNCIA - </t>
    </r>
    <r>
      <rPr>
        <sz val="11"/>
        <color rgb="FFFF0000"/>
        <rFont val="Calibri"/>
      </rPr>
      <t>NÃO CONSIDERADO</t>
    </r>
  </si>
  <si>
    <t>CONSUMO DE LÓGICA E TELEFONIA</t>
  </si>
  <si>
    <r>
      <t xml:space="preserve">COMBUSTÍVEL E MANUTENÇÃO DE VEÍCULOS - </t>
    </r>
    <r>
      <rPr>
        <sz val="11"/>
        <color rgb="FFFF0000"/>
        <rFont val="Calibri"/>
        <family val="2"/>
      </rPr>
      <t>NÃO CONSIDERADO</t>
    </r>
  </si>
  <si>
    <t>REMOÇÃO DE ENTULHOS - LOCAÇÃO DE CAÇAMBA 4M3</t>
  </si>
  <si>
    <t>REMOÇÃO DE ENTULHOS - COLETA SELETIVA</t>
  </si>
  <si>
    <t>ENCANADOR OU BOMBEIRO HIDRÁULICO COM ENCARGOS COMPLEMENTARES</t>
  </si>
  <si>
    <t>SINAPI 88267</t>
  </si>
  <si>
    <r>
      <t xml:space="preserve">PUBLICIDADE TAPUME - </t>
    </r>
    <r>
      <rPr>
        <sz val="11"/>
        <color rgb="FFFF0000"/>
        <rFont val="Calibri"/>
        <family val="2"/>
      </rPr>
      <t>NÃO CONSIDERADO</t>
    </r>
  </si>
  <si>
    <t>PLACA DE OBRA</t>
  </si>
  <si>
    <t>INSUMO SINAPI 4813</t>
  </si>
  <si>
    <t>PEDREIRO COM ENCARGOS COMPLEMENTARES</t>
  </si>
  <si>
    <t>SINAPI 88309</t>
  </si>
  <si>
    <t>CARPINTEIRO DE FORMAS COM ENCARGOS COMPLEMENTARES</t>
  </si>
  <si>
    <t>SINAPI 88262</t>
  </si>
  <si>
    <t>LOCAÇÃO DE CONTAINER ESCRITÓRIO</t>
  </si>
  <si>
    <t>INSUMO SINAPI 10775</t>
  </si>
  <si>
    <r>
      <t xml:space="preserve">MOBILIÁRIOS INSTALAÇÃOES PROVISÓRIAS - </t>
    </r>
    <r>
      <rPr>
        <sz val="11"/>
        <color rgb="FFFF0000"/>
        <rFont val="Calibri"/>
      </rPr>
      <t>NÃO CONSIDERADO</t>
    </r>
  </si>
  <si>
    <t>EXTINTORES PARA INSTALAÇÕES PROVISÓRIAS</t>
  </si>
  <si>
    <t>INSUMO SINAPI 10886</t>
  </si>
  <si>
    <t>INSUMO SINAPI 37557</t>
  </si>
  <si>
    <t>SINAPI 88264</t>
  </si>
  <si>
    <t>ASSUNTO: COMPOSIÇÃO DO BDI MÁXIMO</t>
  </si>
  <si>
    <t>*Considerado BDI sem Desoneração</t>
  </si>
  <si>
    <t>Ref.: Acórdão TCU 2622/2013</t>
  </si>
  <si>
    <t>ÍTEM</t>
  </si>
  <si>
    <t>COMPOSIÇÃO DO BDI DE SERVIÇOS</t>
  </si>
  <si>
    <t>1.0</t>
  </si>
  <si>
    <t>ADMINISTRAÇÃO CENTRAL (AC)</t>
  </si>
  <si>
    <t>2.0</t>
  </si>
  <si>
    <t>SEGUROS, GARANTIAS E RISCOS (SGR)</t>
  </si>
  <si>
    <t>2.1</t>
  </si>
  <si>
    <t>Seguros</t>
  </si>
  <si>
    <t>2.2</t>
  </si>
  <si>
    <t>Garantias</t>
  </si>
  <si>
    <t>2.3</t>
  </si>
  <si>
    <t>Riscos</t>
  </si>
  <si>
    <t>3.0</t>
  </si>
  <si>
    <t>DESPESAS FINANCEIRAS (DF)</t>
  </si>
  <si>
    <t>4.0</t>
  </si>
  <si>
    <t>LUCRO (L)</t>
  </si>
  <si>
    <t>5.0</t>
  </si>
  <si>
    <t>TRIBUTOS (T)</t>
  </si>
  <si>
    <t>5.1</t>
  </si>
  <si>
    <t>ISS (*)</t>
  </si>
  <si>
    <t>5.2</t>
  </si>
  <si>
    <t>PIS</t>
  </si>
  <si>
    <t>5.3</t>
  </si>
  <si>
    <t>COFINS</t>
  </si>
  <si>
    <t>5.4</t>
  </si>
  <si>
    <t>Contribuição Previdenciária s. Receita Bruta (CPRB)</t>
  </si>
  <si>
    <t>ASSUNTO: TABELA DE ENCARGOS SOCIAIS</t>
  </si>
  <si>
    <t xml:space="preserve">COMPOSIÇÃO </t>
  </si>
  <si>
    <t>HORISTA %</t>
  </si>
  <si>
    <t>MENS. %</t>
  </si>
  <si>
    <t>A</t>
  </si>
  <si>
    <t>GRUPO A - ENCARGOS BÁSICOS PREVIDENCIÁRIOS</t>
  </si>
  <si>
    <t>A.1</t>
  </si>
  <si>
    <t xml:space="preserve">Inss </t>
  </si>
  <si>
    <t>A.2</t>
  </si>
  <si>
    <t>Sesi</t>
  </si>
  <si>
    <t>A.3</t>
  </si>
  <si>
    <t>Senai</t>
  </si>
  <si>
    <t>A.4</t>
  </si>
  <si>
    <t>Incra</t>
  </si>
  <si>
    <t>A.5</t>
  </si>
  <si>
    <t>Sebrae</t>
  </si>
  <si>
    <t>A.6</t>
  </si>
  <si>
    <t>Salário Educação</t>
  </si>
  <si>
    <t>A.7</t>
  </si>
  <si>
    <t>Seguro Contra Acidentes De Trabalho</t>
  </si>
  <si>
    <t>A.8</t>
  </si>
  <si>
    <t>Fgts</t>
  </si>
  <si>
    <t>A.9</t>
  </si>
  <si>
    <t>Seconci</t>
  </si>
  <si>
    <t>B</t>
  </si>
  <si>
    <t>GRUPO B - ENCARGOS QUE RECEBEM INCIDÊNCIA DE "A"</t>
  </si>
  <si>
    <t>B.1</t>
  </si>
  <si>
    <t>Repouso Semanal Remunerado</t>
  </si>
  <si>
    <t>Não incide</t>
  </si>
  <si>
    <t>B.2</t>
  </si>
  <si>
    <t>Feriados</t>
  </si>
  <si>
    <t>B.3</t>
  </si>
  <si>
    <t>Auxílio-Enfermidade</t>
  </si>
  <si>
    <t>B.4</t>
  </si>
  <si>
    <t>13º Salário</t>
  </si>
  <si>
    <t>B.5</t>
  </si>
  <si>
    <t>Licença-Paternidade</t>
  </si>
  <si>
    <t>B.6</t>
  </si>
  <si>
    <t>Faltas Justificadas</t>
  </si>
  <si>
    <t>B.7</t>
  </si>
  <si>
    <t>Dias De Chuvas</t>
  </si>
  <si>
    <t>B.8</t>
  </si>
  <si>
    <t>Auxílio Acidente De Trabalho</t>
  </si>
  <si>
    <t>B.9</t>
  </si>
  <si>
    <t>Férias Gozadas</t>
  </si>
  <si>
    <t>B.10</t>
  </si>
  <si>
    <t>Salário Maternidade</t>
  </si>
  <si>
    <t xml:space="preserve"> GRUPO "B"</t>
  </si>
  <si>
    <t>C</t>
  </si>
  <si>
    <t>GRUPO C - ENCARGOS QUE NÃO RECEBEM INCIDÊNCIA DE "A"</t>
  </si>
  <si>
    <t>C.1</t>
  </si>
  <si>
    <t>Aviso Prévio Indenizado</t>
  </si>
  <si>
    <t>C.2</t>
  </si>
  <si>
    <t>Aviso-Prévio Trabalhado</t>
  </si>
  <si>
    <t>C.3</t>
  </si>
  <si>
    <t>Férias Indenizadas</t>
  </si>
  <si>
    <t>C.4</t>
  </si>
  <si>
    <t>Depósito Rescisão Sem Justa Causa</t>
  </si>
  <si>
    <t>C.5</t>
  </si>
  <si>
    <t>Indenização Adicional</t>
  </si>
  <si>
    <t xml:space="preserve"> GRUPO "C"</t>
  </si>
  <si>
    <t>D</t>
  </si>
  <si>
    <t xml:space="preserve">GRUPO D - INCIDÊNCIA DE ENCARGOS </t>
  </si>
  <si>
    <t>D.1</t>
  </si>
  <si>
    <t>Reincidência De Grupo A Sobre Grupo B</t>
  </si>
  <si>
    <t>D.2</t>
  </si>
  <si>
    <t>Reincidencia De Grupo A Sobre Aviso Prévio Trabalhado E Reincidência Do Fgts Sobre Aviso Prévio Indenizado</t>
  </si>
  <si>
    <t xml:space="preserve"> GRUPO "D"</t>
  </si>
  <si>
    <t xml:space="preserve"> GERAL A+B+C+D</t>
  </si>
  <si>
    <t>1.1</t>
  </si>
  <si>
    <t>1.2</t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</si>
  <si>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</si>
  <si>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</si>
  <si>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</si>
  <si>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</si>
  <si>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</si>
  <si>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</si>
  <si>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</si>
  <si>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</si>
  <si>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</si>
  <si>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</si>
  <si>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</si>
  <si>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</si>
  <si>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</si>
  <si>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</si>
  <si>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</si>
  <si>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1.2.2</t>
  </si>
  <si>
    <t>1.2.2.1</t>
  </si>
  <si>
    <t>1.2.2.2</t>
  </si>
  <si>
    <t>1.2.3</t>
  </si>
  <si>
    <t>1.2.3.1</t>
  </si>
  <si>
    <t>1.2.3.2</t>
  </si>
  <si>
    <t>1.2.3.3</t>
  </si>
  <si>
    <t>1.2.4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</si>
  <si>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</si>
  <si>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</si>
  <si>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</si>
  <si>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</si>
  <si>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</si>
  <si>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</si>
  <si>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</si>
  <si>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</si>
  <si>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1.2.5</t>
  </si>
  <si>
    <t>1.2.5.1</t>
  </si>
  <si>
    <t>1.2.5.2</t>
  </si>
  <si>
    <t>1.2.5.3</t>
  </si>
  <si>
    <t>1.2.5.4</t>
  </si>
  <si>
    <t>1.2.6</t>
  </si>
  <si>
    <t>1.2.6.1</t>
  </si>
  <si>
    <t>1.2.6.2</t>
  </si>
  <si>
    <t>1.2.6.3</t>
  </si>
  <si>
    <t>1.2.6.4</t>
  </si>
  <si>
    <t>1.2.6.5</t>
  </si>
  <si>
    <t>1.2.7</t>
  </si>
  <si>
    <t>1.2.7.1</t>
  </si>
  <si>
    <t>1.2.7.2</t>
  </si>
  <si>
    <t>1.2.7.3</t>
  </si>
  <si>
    <t>1.2.7.4</t>
  </si>
  <si>
    <t>2.4</t>
  </si>
  <si>
    <t>2.4.1</t>
  </si>
  <si>
    <t>2.5</t>
  </si>
  <si>
    <t>2.5.1</t>
  </si>
  <si>
    <t>2.5.2</t>
  </si>
  <si>
    <t>2.5.3</t>
  </si>
  <si>
    <t>2.6</t>
  </si>
  <si>
    <t>2.7</t>
  </si>
  <si>
    <t>2.6.1</t>
  </si>
  <si>
    <t>2.6.2</t>
  </si>
  <si>
    <t>2.7.1</t>
  </si>
  <si>
    <t>2.7.2</t>
  </si>
  <si>
    <t>2.7.3</t>
  </si>
  <si>
    <t>2.8</t>
  </si>
  <si>
    <t>2.8.1</t>
  </si>
  <si>
    <t>2.8.2</t>
  </si>
  <si>
    <t>2.9</t>
  </si>
  <si>
    <t>2.9.1</t>
  </si>
  <si>
    <t>2.9.2</t>
  </si>
  <si>
    <t>2.10</t>
  </si>
  <si>
    <t>2.11</t>
  </si>
  <si>
    <t>2.12</t>
  </si>
  <si>
    <t>2.13</t>
  </si>
  <si>
    <t>2.14</t>
  </si>
  <si>
    <t>2.7.1.1</t>
  </si>
  <si>
    <t>2.7.2.1</t>
  </si>
  <si>
    <t>2.9.1.1</t>
  </si>
  <si>
    <t>2.9.1.2</t>
  </si>
  <si>
    <t>2.9.1.3</t>
  </si>
  <si>
    <t>2.9.1.4</t>
  </si>
  <si>
    <t>2.9.1.5</t>
  </si>
  <si>
    <t>2.9.1.6</t>
  </si>
  <si>
    <t>2.9.1.7</t>
  </si>
  <si>
    <t>2.9.1.8</t>
  </si>
  <si>
    <t>2.9.1.9</t>
  </si>
  <si>
    <t>2.9.1.10</t>
  </si>
  <si>
    <t>2.9.1.11</t>
  </si>
  <si>
    <t>2.9.1.12</t>
  </si>
  <si>
    <t>2.9.1.13</t>
  </si>
  <si>
    <t>2.9.1.14</t>
  </si>
  <si>
    <t>2.9.1.15</t>
  </si>
  <si>
    <t>2.9.1.16</t>
  </si>
  <si>
    <t>2.9.1.17</t>
  </si>
  <si>
    <t>2.9.1.18</t>
  </si>
  <si>
    <t>2.9.1.19</t>
  </si>
  <si>
    <t>2.9.1.20</t>
  </si>
  <si>
    <t>2.9.1.21</t>
  </si>
  <si>
    <t>2.9.1.22</t>
  </si>
  <si>
    <t>2.9.1.23</t>
  </si>
  <si>
    <t>2.9.1.24</t>
  </si>
  <si>
    <t>2.9.1.25</t>
  </si>
  <si>
    <t>2.9.1.26</t>
  </si>
  <si>
    <t>2.14.1</t>
  </si>
  <si>
    <t>2.14.2</t>
  </si>
  <si>
    <t>2.14.3</t>
  </si>
  <si>
    <t>2.14.4</t>
  </si>
  <si>
    <t>TOTAL S/ BDI</t>
  </si>
  <si>
    <t>TOTAL C/ BDI</t>
  </si>
  <si>
    <r>
      <t xml:space="preserve">FERRAMENTAS DE PEQUENO E MÉDIO PORTE  </t>
    </r>
    <r>
      <rPr>
        <sz val="11"/>
        <color rgb="FFFF0000"/>
        <rFont val="Calibri"/>
        <family val="2"/>
      </rPr>
      <t>- NÃO CONSIDERADO</t>
    </r>
  </si>
  <si>
    <r>
      <t xml:space="preserve">ESTAGIÁRIO DE ENGENHARIA </t>
    </r>
    <r>
      <rPr>
        <sz val="11"/>
        <color rgb="FFFF0000"/>
        <rFont val="Calibri"/>
        <family val="2"/>
      </rPr>
      <t>- NÃO CONSIDERADO</t>
    </r>
  </si>
  <si>
    <r>
      <t xml:space="preserve">ALMOXARIFE </t>
    </r>
    <r>
      <rPr>
        <sz val="11"/>
        <color rgb="FFFF0000"/>
        <rFont val="Calibri"/>
        <family val="2"/>
      </rPr>
      <t>- NÃO CONSIDERADO</t>
    </r>
  </si>
  <si>
    <r>
      <t xml:space="preserve">CERTIDÕES E HABITE-SE </t>
    </r>
    <r>
      <rPr>
        <sz val="11"/>
        <color rgb="FFFF0000"/>
        <rFont val="Calibri"/>
        <family val="2"/>
      </rPr>
      <t>- NÃO CONSIDERADO</t>
    </r>
  </si>
  <si>
    <t>CASSIANO ARQUITETOS</t>
  </si>
  <si>
    <t>Porto Alegre / RS</t>
  </si>
  <si>
    <r>
      <t xml:space="preserve">ENTRADA PROVISÓRIA DE ENERGIA - </t>
    </r>
    <r>
      <rPr>
        <sz val="11"/>
        <color rgb="FFFF0000"/>
        <rFont val="Calibri"/>
      </rPr>
      <t>NÃO CONSIDERADO</t>
    </r>
  </si>
  <si>
    <r>
      <t xml:space="preserve">LIGAÇÃO PROVISÓRIA DE ÁGUA E ESGOTO - </t>
    </r>
    <r>
      <rPr>
        <sz val="11"/>
        <color rgb="FFFF0000"/>
        <rFont val="Calibri"/>
      </rPr>
      <t>NÃO CONSIDERADO</t>
    </r>
  </si>
  <si>
    <t>DESMOBILIZAÇÃO CANTEIRO DE OBRAS</t>
  </si>
  <si>
    <t>ELETRICISTA COM ENCARGOS COMPLEMENTARES</t>
  </si>
  <si>
    <r>
      <t xml:space="preserve">CONSUMO ENERGIA ELÉTRICA - </t>
    </r>
    <r>
      <rPr>
        <sz val="11"/>
        <color rgb="FFFF0000"/>
        <rFont val="Calibri"/>
      </rPr>
      <t>NÃO CONSIDERADO</t>
    </r>
  </si>
  <si>
    <r>
      <t>CONSUMO DE ÁGUA -</t>
    </r>
    <r>
      <rPr>
        <sz val="11"/>
        <color rgb="FFFF0000"/>
        <rFont val="Calibri"/>
      </rPr>
      <t xml:space="preserve"> NÃO CONSIDERADO</t>
    </r>
  </si>
  <si>
    <r>
      <t xml:space="preserve">LAUDOS TÉCNICOS - </t>
    </r>
    <r>
      <rPr>
        <sz val="11"/>
        <color rgb="FFFF0000"/>
        <rFont val="Calibri"/>
      </rPr>
      <t>NÃO CONSIDERADO</t>
    </r>
  </si>
  <si>
    <t>AUXILIAR TÉCNICO DE ENGENHARIA COM ENCARGOS COMPLEMENTARES</t>
  </si>
  <si>
    <t>SINAPI 88255</t>
  </si>
  <si>
    <r>
      <t>ART'S, TAXAS E VISTORIAS -</t>
    </r>
    <r>
      <rPr>
        <sz val="11"/>
        <color rgb="FFFF0000"/>
        <rFont val="Calibri"/>
        <family val="2"/>
      </rPr>
      <t xml:space="preserve"> NÃO CONSIDERADO</t>
    </r>
  </si>
  <si>
    <t>PAREDE COM PLACAS DE GESSO ACARTONADO (DRYWALL), PARA USO INTERNO, COM DUAS FACES SIMPLES E ESTRUTURA METÁLICA COM GUIAS SIMPLES</t>
  </si>
  <si>
    <t>Coberturas</t>
  </si>
  <si>
    <t>Impermeabilizações</t>
  </si>
  <si>
    <t>APLICAÇÃO E LIXAMENTO DE MASSA LÁTEX EM PAREDES, DUAS DEMÃOS</t>
  </si>
  <si>
    <t>APLICAÇÃO E LIXAMENTO DE MASSA LÁTEX EM TETO, DUAS DEMÃOS</t>
  </si>
  <si>
    <t>Esquadrias / Serralherias / Vidros</t>
  </si>
  <si>
    <t>Revestimentos e Pinturas</t>
  </si>
  <si>
    <t>Demolições e Remoções</t>
  </si>
  <si>
    <t>2.1.1</t>
  </si>
  <si>
    <t>REMOÇÃO DE PORTAS, DE FORMA MANUAL, SEM REAPROVEITAMENTO</t>
  </si>
  <si>
    <t>2.1.2</t>
  </si>
  <si>
    <t>2.1.3</t>
  </si>
  <si>
    <t>Esquadrias Metálicas</t>
  </si>
  <si>
    <t>2.5.2.1</t>
  </si>
  <si>
    <t>2.5.2.2</t>
  </si>
  <si>
    <t>2.5.2.3</t>
  </si>
  <si>
    <t>2.5.2.4</t>
  </si>
  <si>
    <t>2.5.3.1</t>
  </si>
  <si>
    <t>2.5.3.2</t>
  </si>
  <si>
    <t>2.5.4</t>
  </si>
  <si>
    <t>FORRO EM DRYWALL, INCLUSIVE ESTRUTURA DE FIXAÇÃO</t>
  </si>
  <si>
    <t>2.7.4</t>
  </si>
  <si>
    <t>2.7.4.1</t>
  </si>
  <si>
    <t>2.7.4.2</t>
  </si>
  <si>
    <t>2.7.4.3</t>
  </si>
  <si>
    <t>2.7.5</t>
  </si>
  <si>
    <t>2.7.5.1</t>
  </si>
  <si>
    <t>2.7.5.2</t>
  </si>
  <si>
    <t>2.7.5.3</t>
  </si>
  <si>
    <t>2.7.6</t>
  </si>
  <si>
    <t>2.8.3</t>
  </si>
  <si>
    <t>2.8.4</t>
  </si>
  <si>
    <t>2.8.5</t>
  </si>
  <si>
    <t>LIMPEZA DE PISO CERÂMICO EXISTENTE</t>
  </si>
  <si>
    <t>PREPARAÇÃO AUTONIVELANTE PARA PISO VINÍLICO</t>
  </si>
  <si>
    <t>PISO VINÍLICO EM PLACAS</t>
  </si>
  <si>
    <t>Rede Elétrica Comum</t>
  </si>
  <si>
    <t>MINI DISJUNTOR MONOPLAR, 16A - 4,5KA, PARA TRILHO TIPO DIN</t>
  </si>
  <si>
    <t>MINI DISJUNTOR MONOPLAR, 20A - 4,5KA, PARA TRILHO TIPO DIN</t>
  </si>
  <si>
    <t>TOMADA 2P+T 250V-10 AMPERES</t>
  </si>
  <si>
    <t>INTERRUPTOR 1 TECLA SIMPLES</t>
  </si>
  <si>
    <t>INTERRUPTOR 2 TECLAS SIMPLES (DUPLO)</t>
  </si>
  <si>
    <t xml:space="preserve">CABO UNIPOLAR #2,5MM² FLEXÍVEL HF, LIVRE DE HALOGÊNIO, 70°C  450/750V </t>
  </si>
  <si>
    <t xml:space="preserve">CABO UNIPOLAR #4,0MM² FLEXÍVEL HF, LIVRE DE HALOGÊNIO, 70°C  450/750V </t>
  </si>
  <si>
    <t>TOMADA INDUSTRIAL DE SOBREPOR TIPO STECK 32 A 2P+T-250V</t>
  </si>
  <si>
    <t>ESPELHO CEGO 4X2" COR BRANCA</t>
  </si>
  <si>
    <t>PLUG MACHO NOVO PADRÃO - LIGAÇÃO LUMINÁRIAS</t>
  </si>
  <si>
    <t xml:space="preserve">CAIXA DE PASSAGEM DE EMBUTIR 100MMX50MM </t>
  </si>
  <si>
    <t>CAIXA TIPO CONDULETE COM TAMPA CEGA Ø 25MM (1")</t>
  </si>
  <si>
    <t>DERIVAÇÃO LATERAL P/ ELETRODUTO - ELETROCALHA</t>
  </si>
  <si>
    <t>MINI DISJUNTOR BIPOLAR, 20A - 4,5KA, PARA TRILHO TIPO DIN</t>
  </si>
  <si>
    <t>LONA PLASTICA PESADA PRETA, E = 150 MICRA</t>
  </si>
  <si>
    <t>INSUMO SINAPI 3777</t>
  </si>
  <si>
    <t>INTERRUPTOR 3 TECLAS SIMPLES (TRIPLO)</t>
  </si>
  <si>
    <t>RETIRADA, LIMPEZA E RECOLOCAÇÃO DE LUMINÁRIA DE SOBREPOR RESMINI MR 500</t>
  </si>
  <si>
    <t>LÂMPADA LED 18W, BIVOLT (100-240V) FLUXO LUMINOSO MÍNIMO DE 1800 LÚMENS, COR BRANCO NEUTRO, PARA LUMINÁRIA T8</t>
  </si>
  <si>
    <t>ESPELHO DE PVC BRANCO 4X2" (100X50MM) PARA CAIXA DE PASSAGEM COM 1 TOMADA 2P+T 10 A - 250V PADRÃO NBR 14136</t>
  </si>
  <si>
    <t>CABO MULTIPOLAR DE COBRE, FLEXIVEL, CLASSE 4 OU 5, ISOLACAO EM HEPR, COBERTURA EM PVC-ST2, ANTICHAMA BWF-B, 0,6/1 KV, 3 CONDUTORES DE 1,5 MM2</t>
  </si>
  <si>
    <t>INSUMO SINAPI 39257</t>
  </si>
  <si>
    <t>CABO TIPO PP 3X1,5MM² - LIGAÇÃO DAS LUMINÁRIAS</t>
  </si>
  <si>
    <t>FITA ISOLANTE ADESIVA ANTICHAMA, USO ATE 750 V, EM ROLO DE 19 MM X 5 M</t>
  </si>
  <si>
    <t>INSUMO SINAPI 21127</t>
  </si>
  <si>
    <t>AUXILIAR DE ELETRICISTA COM ENCARGOS COMPLEMENTARES</t>
  </si>
  <si>
    <t>SINAPI 88247</t>
  </si>
  <si>
    <t>ADAPTADOR EM ALUMÍNIO INJETADO PARA CANALETA 73X25MM - 2X1", COR BRANCA REF. DUTOTEC DT47640.00 OU EQUIVALENTE TÉCNICO</t>
  </si>
  <si>
    <t>CABO UTP 4 PARES 24 AWG LSZH (NÃO HALOGENADO)  CAT.6</t>
  </si>
  <si>
    <t>PATCH CORD, CAT.6,  1,0M (LÓGICA) - COR AZUL</t>
  </si>
  <si>
    <t>PATCH CORD, CAT.6,  2,0M (LÓGICA) - COR AZUL</t>
  </si>
  <si>
    <t>ESPELHO 100MMX50MM EM COR BRANCA COM 1 CONECTOR FÊMEA (TOMADA ) RJ 45 CAT.6</t>
  </si>
  <si>
    <t>2.9.2.1</t>
  </si>
  <si>
    <t>2.9.2.2</t>
  </si>
  <si>
    <t>2.9.2.3</t>
  </si>
  <si>
    <t>2.9.2.4</t>
  </si>
  <si>
    <t>2.9.2.5</t>
  </si>
  <si>
    <t>2.9.2.6</t>
  </si>
  <si>
    <t>2.9.2.7</t>
  </si>
  <si>
    <t>2.9.2.8</t>
  </si>
  <si>
    <t>2.9.2.9</t>
  </si>
  <si>
    <t>2.9.2.10</t>
  </si>
  <si>
    <t>2.9.2.11</t>
  </si>
  <si>
    <t>2.9.2.12</t>
  </si>
  <si>
    <t>2.9.2.13</t>
  </si>
  <si>
    <t>2.9.2.14</t>
  </si>
  <si>
    <t>2.9.2.15</t>
  </si>
  <si>
    <t>2.9.2.16</t>
  </si>
  <si>
    <t>2.9.2.17</t>
  </si>
  <si>
    <t>2.9.2.18</t>
  </si>
  <si>
    <t>2.9.2.19</t>
  </si>
  <si>
    <t>2.9.2.20</t>
  </si>
  <si>
    <t>BUCHA DE REDUÇÃO 1"X3/4", REF. DUTOTEC DT48089.00 OU EQUIVALENTE TÉCNICO</t>
  </si>
  <si>
    <t>CERTIFICAÇÃO DE PONTOS RJ45 CAT.6</t>
  </si>
  <si>
    <t>PATCH PANEL 24 PORTAS COM  TOMADAS RJ-45 CAT.6  P/ RACK 19"</t>
  </si>
  <si>
    <t>PATCH CORD, CATEGORIA 6, EXTENSAO DE 1,50 M</t>
  </si>
  <si>
    <t>INSUMO SINAPI 39606</t>
  </si>
  <si>
    <t>PATCH CORD, CATEGORIA 6, EXTENSAO DE 2,50 M</t>
  </si>
  <si>
    <t>INSUMO SINAPI 39607</t>
  </si>
  <si>
    <t>Telecomunicações</t>
  </si>
  <si>
    <t>Instalações Hidrossanitárias</t>
  </si>
  <si>
    <t>Instalações de Gás</t>
  </si>
  <si>
    <t>Instalações Contra Incêndio</t>
  </si>
  <si>
    <t xml:space="preserve">EMISSÃO E RECOLHIMENTO DE ART DE EXECUÇÃO </t>
  </si>
  <si>
    <t>Climatização e Ventilação</t>
  </si>
  <si>
    <t>2.14.5</t>
  </si>
  <si>
    <t>2.14.6</t>
  </si>
  <si>
    <t>2.14.7</t>
  </si>
  <si>
    <t>2.14.8</t>
  </si>
  <si>
    <t>2.14.9</t>
  </si>
  <si>
    <t>2.14.10</t>
  </si>
  <si>
    <t>2.14.11</t>
  </si>
  <si>
    <t>2.14.12</t>
  </si>
  <si>
    <t>2.14.13</t>
  </si>
  <si>
    <t>2.14.14</t>
  </si>
  <si>
    <t>2.14.15</t>
  </si>
  <si>
    <t>2.14.16</t>
  </si>
  <si>
    <t>2.14.17</t>
  </si>
  <si>
    <t>2.14.18</t>
  </si>
  <si>
    <t>2.14.19</t>
  </si>
  <si>
    <t>2.14.20</t>
  </si>
  <si>
    <t>KG</t>
  </si>
  <si>
    <t xml:space="preserve">DUTOS METÁLICOS EM CHAPA GALVANIZADA CONFORME PROJETO, INCLUINDO ACESSÓRIOS </t>
  </si>
  <si>
    <t>DESMONTAGEM DE DUTOS METÁLICOS EXISTENTES</t>
  </si>
  <si>
    <t>ISOLAMENTO TÉRMICO EM MANTA DE LÃ DE VIDRO SEM AGLUTINANTE E INCOMBUSTÍVEL, ESPESSURA MÍNIMA 38MM, DENSIDADE MÉDIA 25Kg/m², REVESTIDA COM PAPEL TIPO KRAFT E PELÍCULA DE ALUMÍNIO NA FACE EXTERNA - ROLO COM 15M2</t>
  </si>
  <si>
    <t>DIFUSOR QUADRADO 4 VIAS EM ALUMÍNIO ANODIZADO C/ CAPTOR DE ACIONAMENTO MANUAL
REF. T4 (412x412)mm MOD. DQE-41, TROPICAL OU EQUIVALENTE</t>
  </si>
  <si>
    <t>DIFUSOR QUADRADO 4 VIAS EM ALUMÍNIO ANODIZADO C/ CAPTOR DE ACIONAMENTO MANUAL REF. T6 (498x498)mm MOD. DQE-41, TROPICAL OU EQUIVALENTE</t>
  </si>
  <si>
    <t>GRELHA DE RETORNO QUADRADA P/ PORTA EM ALUMÍNIO ANODIZADO REF. MOD. GR (500x500)mm, TROPICAL OU EQUIVALENTE</t>
  </si>
  <si>
    <t>DIFUSOR QUADRADO 4 VIAS EM ALUMÍNIO ANODIZADO C/ CAPTOR DE ACIONAMENTO MANUAL REF. T5 (468x468)mm MOD. DQE-41, TROPICAL OU EQUIVALENTE</t>
  </si>
  <si>
    <t>DIFUSOR QUADRADO 3 VIAS EM ALUMÍNIO ANODIZADO C/ CAPTOR DE ACIONAMENTO MANUAL REF. T5 (468x468)mm MOD. DQE-31, TROPICAL OU EQUIVALENTE</t>
  </si>
  <si>
    <t>POLIA DO VENTILADOR DO FANCOIL PARA ADEQUAÇÃO DA VAZÃO DE INSUFLAMENTO (O INSTALADOR DEVERÁ INSPECIONAR E SELECIONAR A POLIA EM CAMPO)</t>
  </si>
  <si>
    <t xml:space="preserve">CORREIA DE BORRACHA PARA VENTILADOR DE FANCOIL </t>
  </si>
  <si>
    <t xml:space="preserve">MEDIÇÃO E BALANCEAMENTO DAS VAZÕES CONFORME PROJETO </t>
  </si>
  <si>
    <t>DESLOCAMENTO E ARMAZENAMENTO DE EQUIPAMENTOS E MOBILIÁRIOS EXISTENTES</t>
  </si>
  <si>
    <t>REALOCAÇÃO DE EQUIPAMENTOS E MOBILIÁRIOS EXISTENTES</t>
  </si>
  <si>
    <t>2.15</t>
  </si>
  <si>
    <t>2.15.1</t>
  </si>
  <si>
    <t>2.15.2</t>
  </si>
  <si>
    <t>2.15.3</t>
  </si>
  <si>
    <t>2.15.4</t>
  </si>
  <si>
    <t>2.15.5</t>
  </si>
  <si>
    <t>2.15.6</t>
  </si>
  <si>
    <t>2.15.7</t>
  </si>
  <si>
    <t>2.16</t>
  </si>
  <si>
    <t>2.16.1</t>
  </si>
  <si>
    <t>2.16.2</t>
  </si>
  <si>
    <t>2.16.3</t>
  </si>
  <si>
    <t>2.16.4</t>
  </si>
  <si>
    <t>2.16.5</t>
  </si>
  <si>
    <t>ENGENHEIRO DE OBRAS - TURNO 5%</t>
  </si>
  <si>
    <t>MESTRE DE OBRAS - TURNO 10%</t>
  </si>
  <si>
    <t>2.10.1</t>
  </si>
  <si>
    <t>2.10.2</t>
  </si>
  <si>
    <r>
      <t xml:space="preserve">LOCAÇÃO DE CONTAINER ESCRITÓRIO - </t>
    </r>
    <r>
      <rPr>
        <sz val="11"/>
        <color rgb="FFFF0000"/>
        <rFont val="Calibri"/>
      </rPr>
      <t>INSTALAÇÃO EXTERNA AO PRÉDIO</t>
    </r>
  </si>
  <si>
    <t>INSUMO SINAPI 1872</t>
  </si>
  <si>
    <t>Hospitalar - Reforma</t>
  </si>
  <si>
    <t>ARGAMASSA COLANTE AC I PARA CERAMICAS</t>
  </si>
  <si>
    <t>INSUMO SINAPI 1381</t>
  </si>
  <si>
    <t>ESPAÇADOR PLÁSTICO PARA CERÂMICAS</t>
  </si>
  <si>
    <t>AZULEJISTA OU LADRILHISTA COM ENCARGOS COMPLEMENTARES</t>
  </si>
  <si>
    <t>SINAPI 88256</t>
  </si>
  <si>
    <t>DILUENTE EPOXI</t>
  </si>
  <si>
    <t>PRIMER EPOXI</t>
  </si>
  <si>
    <t>INSUMO SINAPI 5330</t>
  </si>
  <si>
    <t>INSUMO SINAPI 11149</t>
  </si>
  <si>
    <t>TINTA EPOXI BASE AGUA PREMIUM, BRANCA</t>
  </si>
  <si>
    <t>PINTOR PARA TINTA EPÓXI COM ENCARGOS COMPLEMENTARES</t>
  </si>
  <si>
    <t>SINAPI 88312</t>
  </si>
  <si>
    <t>INSUMO SINAPI 7304</t>
  </si>
  <si>
    <t>GL</t>
  </si>
  <si>
    <t>RODAPÉ POLIESTIRENO</t>
  </si>
  <si>
    <t>ADESIVO ACRILICO/COLA DE CONTATO</t>
  </si>
  <si>
    <t>INSUMO SINAPI 4791</t>
  </si>
  <si>
    <t>LUMINÁRIA SOBREPOR PARA 2 LÂMPADAS T8 32W, CORPO EM CHAPA DE AÇO, PINTURA A PÓ ELETROSTÁTICO COR BRANCA. REFLETOR E ALETAS PARABÓLICAS EM ALUMÍNIO ANODIZADO BRILHANTE. REF. RESMINI MR500 OU EQUIVALENTE TÉCNICO, COMPLETA</t>
  </si>
  <si>
    <t>LAMPADA FLUORESCENTE TUBULAR T8 DE 32/36 W, BIVOLT</t>
  </si>
  <si>
    <t>INSUMO SINAPI 38779</t>
  </si>
  <si>
    <t>SOQUETE DE BAQUELITE BASE E27, PARA LAMPADAS</t>
  </si>
  <si>
    <t>INSUMO SINAPI 12295</t>
  </si>
  <si>
    <t>REATOR ELETRONICO BIVOLT PARA 2 LAMPADAS FLUORESCENTES DE 36/40 W</t>
  </si>
  <si>
    <t>INSUMO SINAPI 1079</t>
  </si>
  <si>
    <t>ÁLCOOL PARA LIMPEZA</t>
  </si>
  <si>
    <t>PLUG MACHO - ELÉTRICA</t>
  </si>
  <si>
    <t>TOMADA FÊMEA PARA PLUG - ELÉTRICA</t>
  </si>
  <si>
    <t>SUPORTE PARA EQUIPAMENTOS PARA CANALETA 73MM, COR BRANCA, COM 2 TOMADAS REDONDAS PADRÃO NBR 14136/2012 REF. SUPORTE DUTOTEC DT 61041.00 + TOMADAS DUTOTEC 10A / 250V OU EQUIVALENTES TÉCNICOS</t>
  </si>
  <si>
    <t>SUPORTE DUTOTEC DT 6104100</t>
  </si>
  <si>
    <t xml:space="preserve">TOMADA REDONDA DUTOTEC 10A/250V </t>
  </si>
  <si>
    <t>BUCHA DE REDUÇÃO 1"X3/4", REF. DUTOTEC DT48089.00</t>
  </si>
  <si>
    <t>ADAPTADOR EM ALUMÍNIO INJETADO PARA CANALETA 73X25MM - 2X1", COR BRANCA REF. DUTOTEC DT47640.00</t>
  </si>
  <si>
    <t>CANALETA ALUMINIO 73MMX25MM DUPLA C/ TAMPA DE ENCAIXE, COR BRANCA, REF. DUTOTEC  DT12241.00 + TAMPA DT15140.00</t>
  </si>
  <si>
    <t>TAMPA DE ENCAIXE, COR BRANCA, REF. DUTOTEC  DT15140.01</t>
  </si>
  <si>
    <t>SUPORTE PARA EQUIPAMENTOS, COR BRANCA, PARA CANALETA DE 73MM REF. DUTOTEC DT62242.00</t>
  </si>
  <si>
    <t>CONECTOR KEYSTONE RJ45 CAT.6 DUTOTEC</t>
  </si>
  <si>
    <t>TOMADA RJ45 CAT.6 - COMPLETA</t>
  </si>
  <si>
    <t>AUXILIAR DE ENCANADOR OU BOMBEIRO HIDRÁULICO COM ENCARGOS COMPLEMENTARES</t>
  </si>
  <si>
    <t>SINAPI 88248</t>
  </si>
  <si>
    <t>LIXA D'AGUA EM FOLHA, GRAO 100</t>
  </si>
  <si>
    <t>ADESIVO PLASTICO PARA PVC, FRASCO COM 850 GR</t>
  </si>
  <si>
    <t>SOLUCAO LIMPADORA PARA PVC, FRASCO COM 1000 CM3</t>
  </si>
  <si>
    <t>INSUMO SINAPI 38383</t>
  </si>
  <si>
    <t>INSUMO SINAPI 122</t>
  </si>
  <si>
    <t>INSUMO SINAPI 20083</t>
  </si>
  <si>
    <t>JUNCAO SIMPLES, PVC, DN 100 X 50 MM, SERIE NORMAL PARA ESGOTO PREDIAL</t>
  </si>
  <si>
    <t>INSUMO SINAPI 3659</t>
  </si>
  <si>
    <t>MONTADOR ELETROMECÃNICO COM ENCARGOS COMPLEMENTARES</t>
  </si>
  <si>
    <t>SINAPI 88279</t>
  </si>
  <si>
    <t>AJUDANTE ESPECIALIZADO COM ENCARGOS COMPLEMENTARES</t>
  </si>
  <si>
    <t>SINAPI 88243</t>
  </si>
  <si>
    <t>ENGENHEIRO CIVIL DE OBRA PLENO COM ENCARGOS COMPLEMENTARES</t>
  </si>
  <si>
    <t>SINAPI 90778</t>
  </si>
  <si>
    <t>POLIA DO VENTILADOR DO FANCOIL PARA ADEQUAÇÃO DA VAZÃO DE INSUFLAMENTO</t>
  </si>
  <si>
    <t>GRELHA DE RETORNO RETANGULAR P/ FORRO EM ALUMÍNIO ANODIZADO COR DEFINIR EM OBRA
REF.: MOD. RHN (1200x500), TROPICAL OU EQUIVALENTE</t>
  </si>
  <si>
    <t>CAIXA PLENUM PARA DIFUSOR TAM.4, COM COLARINHO</t>
  </si>
  <si>
    <t>CAIXA PLENUM PARA DIFUSOR TAM.6, COM COLARINHO</t>
  </si>
  <si>
    <t>DIFUSOR QUADRADO 4 VIAS EM ALUMÍNIO ANODIZADO C/ CAPTOR DE ACIONAMENTO MANUAL REF. T4 (412x412)mm MOD. DQE-41, TROPICAL OU EQUIVALENTE</t>
  </si>
  <si>
    <t>CAIXA PLENUM PARA DIFUSOR TAM.5, COM COLARINHO</t>
  </si>
  <si>
    <t>CHAPA DE ACO GALVANIZADA BITOLA GSG 26, E = 0,50 MM (4,00 KG/M2)</t>
  </si>
  <si>
    <t>ARRUELA LISA, REDONDA, DE LATAO POLIDO, DIAMETRO NOMINAL 5/8", DIAMETRO EXTERNO = 34 MM, DIAMETRO DO FURO = 17 MM, ESPESSURA = *2,5* MM</t>
  </si>
  <si>
    <t>PERFILADO PERFURADO DUPLO 38 X 76 MM, CHAPA 22</t>
  </si>
  <si>
    <t>CHUMBADOR, DIAMETRO 1/4" COM PARAFUSO 1/4" X 40 MM</t>
  </si>
  <si>
    <t>VERGALHAO ZINCADO ROSCA TOTAL, 1/4 " (6,3 MM)</t>
  </si>
  <si>
    <t>PORCA ZINCADA, SEXTAVADA, DIAMETRO 1/4"</t>
  </si>
  <si>
    <t>INSUMO SINAPI 11267</t>
  </si>
  <si>
    <t>INSUMO SINAPI 39029</t>
  </si>
  <si>
    <t>INSUMO SINAPI 11976</t>
  </si>
  <si>
    <t>INSUMO SINAPI 39996</t>
  </si>
  <si>
    <t>INSUMO SINAPI 39997</t>
  </si>
  <si>
    <t>ISOLAMENTO TÉRMICO EM MANTA DE LÃ DE VIDRO SEM AGLUTINANTE E INCOMBUSTÍVEL, ESPESSURA MÍNIMA 38MM, DENSIDADE MÉDIA 25Kg/m², REVESTIDA COM PAPEL TIPO KRAFT E PELÍCULA DE ALUMÍNIO NA FACE EXTERNA</t>
  </si>
  <si>
    <t>FITA VEDA ROSCA EM ROLOS DE 18 MM X 10 M (L X C)</t>
  </si>
  <si>
    <t>INSUMO SINAPI 38643</t>
  </si>
  <si>
    <t>VALVULA EM METAL CROMADO PARA LAVATORIO, 1 "</t>
  </si>
  <si>
    <t>INSUMO SINAPI 3146</t>
  </si>
  <si>
    <t>ENGATE/RABICHO FLEXIVEL PLASTICO (PVC OU ABS) BRANCO 1/2 " X 30 CM</t>
  </si>
  <si>
    <t>INSUMO SINAPI 6141</t>
  </si>
  <si>
    <t>PARAFUSO NIQUELADO 3 1/2" COM ACABAMENTO CROMADO PARA FIXAR PECA SANITARIA, INCLUI PORCA CEGA, ARRUELA E BUCHA DE NYLON TAMANHO S-8</t>
  </si>
  <si>
    <t>REJUNTE EPOXI, QUALQUER COR</t>
  </si>
  <si>
    <t>INSUMO SINAPI 4351</t>
  </si>
  <si>
    <t>INSUMO SINAPI 37329</t>
  </si>
  <si>
    <t xml:space="preserve">considerando mão de obra correspondente a 40% </t>
  </si>
  <si>
    <t>&gt;&gt;&gt; de acordo com o município (Porto Alegre=4%)</t>
  </si>
  <si>
    <t>ASBUILT</t>
  </si>
  <si>
    <t>2.9.1.27</t>
  </si>
  <si>
    <t>2.9.1.28</t>
  </si>
  <si>
    <t>TOMADA FÊMEA PARA PLUG  NOVO PADRÃO - LIGAÇÃO LUMINÁRIAS</t>
  </si>
  <si>
    <t>Água</t>
  </si>
  <si>
    <t>Esgoto</t>
  </si>
  <si>
    <t>ACABAMENTO PARA REGISTRO DE CHUVEIRO E DE GAVETA</t>
  </si>
  <si>
    <t>ADAPTADOR SOLDÁVEL CURTO COM BOLSA  E ROSCA PARA REGISTRO 25MM X 3/4"</t>
  </si>
  <si>
    <t>2.10.1.1</t>
  </si>
  <si>
    <t>2.10.1.2</t>
  </si>
  <si>
    <t>2.10.1.3</t>
  </si>
  <si>
    <t>2.10.1.4</t>
  </si>
  <si>
    <t>2.10.1.5</t>
  </si>
  <si>
    <t>2.10.1.6</t>
  </si>
  <si>
    <t>2.10.1.7</t>
  </si>
  <si>
    <t>2.10.1.8</t>
  </si>
  <si>
    <t>2.10.1.9</t>
  </si>
  <si>
    <t>2.10.1.10</t>
  </si>
  <si>
    <t>2.10.1.11</t>
  </si>
  <si>
    <t>2.10.1.12</t>
  </si>
  <si>
    <t>2.10.1.13</t>
  </si>
  <si>
    <t>JOELHO 90° SOLDÁVEL 25MM</t>
  </si>
  <si>
    <t>JOELHO 90° SOLDÁVEL COM BUCHA DE LATÃO 25MM X 1/2"</t>
  </si>
  <si>
    <t>REGISTRO DE GAVETA BASE 3/4"</t>
  </si>
  <si>
    <t>TÊ SOLDÁVEL 25MM</t>
  </si>
  <si>
    <t>TUBO SOLDÁVEL 25MM</t>
  </si>
  <si>
    <t>2.10.2.1</t>
  </si>
  <si>
    <t>2.10.2.2</t>
  </si>
  <si>
    <t>2.10.2.3</t>
  </si>
  <si>
    <t>2.10.2.4</t>
  </si>
  <si>
    <t>2.10.2.5</t>
  </si>
  <si>
    <t>2.10.2.6</t>
  </si>
  <si>
    <t>2.10.2.7</t>
  </si>
  <si>
    <t>2.10.2.8</t>
  </si>
  <si>
    <t>2.10.2.9</t>
  </si>
  <si>
    <t>2.10.2.10</t>
  </si>
  <si>
    <t>2.10.2.11</t>
  </si>
  <si>
    <t>2.10.2.12</t>
  </si>
  <si>
    <t>2.10.2.13</t>
  </si>
  <si>
    <t>2.10.2.14</t>
  </si>
  <si>
    <t>2.10.2.15</t>
  </si>
  <si>
    <t>2.10.2.16</t>
  </si>
  <si>
    <t>2.10.2.17</t>
  </si>
  <si>
    <t>2.10.2.18</t>
  </si>
  <si>
    <t>2.10.2.19</t>
  </si>
  <si>
    <t>2.10.2.20</t>
  </si>
  <si>
    <t>2.10.2.21</t>
  </si>
  <si>
    <t>2.10.2.22</t>
  </si>
  <si>
    <t>GRELHA QUADRADA CROMADA 150MM</t>
  </si>
  <si>
    <t>JOELHO 45º SÉRIE NORMAL 40MM COM BOLSAS LISAS</t>
  </si>
  <si>
    <t>JOELHO 45º SÉRIE NORMAL 50MM</t>
  </si>
  <si>
    <t>JOELHO 90º SÉRIE NORMAL 50MM</t>
  </si>
  <si>
    <t>JOELHO 90º SÉRIE NORMAL 40MM COM BOLSAS LISAS</t>
  </si>
  <si>
    <t>JUNÇÃO SIMPLES SÉRIE NORMAL 100X50MM</t>
  </si>
  <si>
    <t>JUNÇÃO SIMPLES SÉRIE NORMAL 75X50MM</t>
  </si>
  <si>
    <t>PROLONGAMENTO PARA CAIXA SIFONADA 150X150MM</t>
  </si>
  <si>
    <t>REDUÇÃO EXCÊNTRICA SÉRIE NORMAL 75X50MM</t>
  </si>
  <si>
    <t>TÊ SÉRIE NORMAL 50MM</t>
  </si>
  <si>
    <t>TÊ SÉRIE NORMAL 75X50MM</t>
  </si>
  <si>
    <t>TUBO PVC SÉRIE NORMAL 100MM</t>
  </si>
  <si>
    <t>TUBO PVC SÉRIE NORMAL 40MM</t>
  </si>
  <si>
    <t>TUBO PVC SÉRIE NORMAL 50MM</t>
  </si>
  <si>
    <t>TUBO PVC SÉRIE NORMAL 75MM</t>
  </si>
  <si>
    <t>INSUMO SINAPI 11051</t>
  </si>
  <si>
    <t>ANEL BORRACHA PARA TUBO ESGOTO PREDIAL DN 50 MM (NBR 5688)</t>
  </si>
  <si>
    <t>PASTA LUBRIFICANTE PARA TUBOS E CONEXOES COM JUNTA ELASTICA (USO EM PVC, ACO, POLIETILENO E OUTROS) ( DE *400* G)</t>
  </si>
  <si>
    <t>CAIXA SIFONADA PVC, 150 X 150 X 50 MM, COM GRELHA REDONDA BRANCA</t>
  </si>
  <si>
    <t>INSUMO SINAPI 296</t>
  </si>
  <si>
    <t>INSUMO SINAPI 20078</t>
  </si>
  <si>
    <t>INSUMO SINAPI 11717</t>
  </si>
  <si>
    <t>CAIXA SIFONADA 150X150X50MM</t>
  </si>
  <si>
    <t>ANEL BORRACHA PARA TUBO ESGOTO PREDIAL, DN 100 MM (NBR 5688)</t>
  </si>
  <si>
    <t>INSUMO SINAPI 301</t>
  </si>
  <si>
    <t>ANEL BORRACHA PARA TUBO ESGOTO PREDIAL DN 75 MM (NBR 5688)</t>
  </si>
  <si>
    <t>INSUMO SINAPI 297</t>
  </si>
  <si>
    <t>GRELHA PVC CROMADA REDONDA, 150 MM</t>
  </si>
  <si>
    <t>INSUMO SINAPI 11732</t>
  </si>
  <si>
    <t>JOELHO PVC, COM BOLSA E ANEL, 90 GRAUS, DN 40 X *38* MM, SERIE NORMAL, PARA ESGOTO PREDIAL</t>
  </si>
  <si>
    <t>INSUMO SINAPI 10835</t>
  </si>
  <si>
    <t>JUNCAO SIMPLES, PVC, DN 75 X 50 MM, SERIE NORMAL PARA ESGOTO PREDIAL</t>
  </si>
  <si>
    <t>INSUMO SINAPI 3661</t>
  </si>
  <si>
    <t>PROLONGAMENTO PVC PARA CAIXA SIFONADA, 150 MM X 150 MM (NBR 5688)</t>
  </si>
  <si>
    <t>INSUMO SINAPI 11737</t>
  </si>
  <si>
    <t>REDUCAO EXCENTRICA PVC P/ ESG PREDIAL DN 75 X 50MM</t>
  </si>
  <si>
    <t>INSUMO SINAPI 20042</t>
  </si>
  <si>
    <t>TE SANITARIO, PVC, DN 75 X 50 MM, SERIE NORMAL PARA ESGOTO PREDIAL</t>
  </si>
  <si>
    <t>INSUMO SINAPI 11657</t>
  </si>
  <si>
    <t>JOELHO 90° CPVC 22MM</t>
  </si>
  <si>
    <t>JOELHO 90° DE TRANSIÇÃO CPVC 22MM X 1/2"</t>
  </si>
  <si>
    <t>LUVA DE TRANSIÇÃO CPVC 22MM X 1/2"</t>
  </si>
  <si>
    <t>TÊ CPVC 22MM</t>
  </si>
  <si>
    <t>TUBO CPVC 22MM</t>
  </si>
  <si>
    <t>TUBO SOLDÁVEL 75MM</t>
  </si>
  <si>
    <t>2.4.2</t>
  </si>
  <si>
    <t>2.4.3</t>
  </si>
  <si>
    <t>INSTALAÇÃO DE ISOLAMENTO COM LÃ DE ROCHA EM PAREDES DRYWALL</t>
  </si>
  <si>
    <t>2.4.4</t>
  </si>
  <si>
    <t>INSTALAÇÃO DE REFORÇO METÁLICO EM PAREDE DRYWALL</t>
  </si>
  <si>
    <t>APLICAÇÃO DE FUNDO SELADOR ACRÍLICO EM TETO, UMA DEMÃO</t>
  </si>
  <si>
    <t>2.1.4</t>
  </si>
  <si>
    <t>REMOÇÃO DE FORRO EXISTENTE, DE FORMA MANUAL, SEM REAPROVEITAMENTO</t>
  </si>
  <si>
    <t>2.1.5</t>
  </si>
  <si>
    <t>REMOÇÃO DE LAVATÓRIO, DE FORMA MANUAL, SEM REAPROVEITAMENTO</t>
  </si>
  <si>
    <t>2.1.6</t>
  </si>
  <si>
    <t>REVESTIMENTO CERÂMICO 30X60CM, LINHA WHITE PLAIN MATTE, PORTINARI</t>
  </si>
  <si>
    <t>REVESTIMENTO CERÂMICO 30X60CM, INCLUINDO REJUNTAMENTO EPÓXI</t>
  </si>
  <si>
    <t>PISO VINÍLICO EM PLACAS, LINHA ALLURA FLEX, GRIGIO CONCRETE 1633, MARCA FORBO</t>
  </si>
  <si>
    <t>VISOR VIDRO TEMPERADO 8MM PARA PORTAS</t>
  </si>
  <si>
    <t>2.5.3.3</t>
  </si>
  <si>
    <t>2.5.3.4</t>
  </si>
  <si>
    <t>Esquadrias Madeira e Ferragens</t>
  </si>
  <si>
    <t>PM01 80X210CM - PORTA MADEIRA SEMI-OCA, REVESTIMENTO MELAMÍNICO BRANCO TEXTURIZADO, INCLUINDO DOBRADIÇAS, GUARNIÇÃO MADEIRA MACIÇA, MARCO METÁLICO E ABERTURA PARA VISOR</t>
  </si>
  <si>
    <t>CARPINTEIRO DE ESQUADRIA COM ENCARGOS COMPLEMENTARES</t>
  </si>
  <si>
    <t>SINAPI 88261</t>
  </si>
  <si>
    <t>ESPUMA EXPANSIVA DE POLIURETANO, APLICACAO MANUAL - 500 ML</t>
  </si>
  <si>
    <t>INSUMO SINAPI 38124</t>
  </si>
  <si>
    <t>FERRAGEM E FECHADURA, REF. LA FONTE MODELO 892, TIPO ALAVANCA, ACABAMENTO INOX POLIDO</t>
  </si>
  <si>
    <t>PUXADOR INOX, REF. ITAOCA, TOZZETO, ACABAMENTO INOX FOSCO - 40CM</t>
  </si>
  <si>
    <t>2.5.3.5</t>
  </si>
  <si>
    <t>VIDRACEIRO COM ENCARGOS COMPLEMENTARES</t>
  </si>
  <si>
    <t>SINAPI 88325</t>
  </si>
  <si>
    <t>VIDRO TEMPERADO INCOLOR E = 8 MM, SEM COLOCACAO</t>
  </si>
  <si>
    <t>INSUMO SINAPI 10506</t>
  </si>
  <si>
    <t>CAIXA MDF, REVESTIMENTO MELAMÍNICO BRANCO TEXTURIZADO PARA EMBUTIR TRILHOS DAS PORTAS DE CORRER</t>
  </si>
  <si>
    <t>Esquadrias de Vidro e Acessórios</t>
  </si>
  <si>
    <t>MISTURADOR MONOCOMANDO CROMADO</t>
  </si>
  <si>
    <t>LAVATÓRIO LOUÇA COM COLUNA SUSPENSA</t>
  </si>
  <si>
    <t>LAVATORIO LOUCA BRANCA SUSPENSO, VOGUE PLUS BRANCO GELO, GE17, DECA L510+CS.1</t>
  </si>
  <si>
    <t>MISTURADOR MONOCOMANDO CROMADO, LEVEL, 2875.C26, DECA</t>
  </si>
  <si>
    <t>HCPA - CPE - Projeto Laboratórios de Pesquisa</t>
  </si>
  <si>
    <t>CPE</t>
  </si>
  <si>
    <t>MINI DISJUNTOR MONOPLAR, 25A - 4,5KA, PARA TRILHO TIPO DIN</t>
  </si>
  <si>
    <t>MINI DISJUNTOR MONOPLAR, 40A - 4,5KA, PARA TRILHO TIPO DIN</t>
  </si>
  <si>
    <t>MINI DISJUNTOR BIPOLAR, 16A - 4,5KA, PARA TRILHO TIPO DIN</t>
  </si>
  <si>
    <t>MINI DISJUNTOR BIPOLAR, 25A - 4,5KA, PARA TRILHO TIPO DIN</t>
  </si>
  <si>
    <t>MINI DISJUNTOR BIPOLAR, 32A - 4,5KA, PARA TRILHO TIPO DIN</t>
  </si>
  <si>
    <t>MINI DISJUNTOR TRIPOLAR, 16A - 4,5KA, PARA TRILHO TIPO DIN</t>
  </si>
  <si>
    <t>MINI DISJUNTOR TRIPOLAR, 20A - 4,5KA, PARA TRILHO TIPO DIN</t>
  </si>
  <si>
    <t>MINI DISJUNTOR TRIPOLAR, 25A - 4,5KA, PARA TRILHO TIPO DIN</t>
  </si>
  <si>
    <t>MINI DISJUNTOR TRIPOLAR, 32A - 4,5KA, PARA TRILHO TIPO DIN</t>
  </si>
  <si>
    <t>MINI DISJUNTOR TRIPOLAR, 50A - 4,5KA, PARA TRILHO TIPO DIN</t>
  </si>
  <si>
    <t>MINI DISJUNTOR TRIPOLAR, CAIXA MOLDADA 100A - 10,0KA-220 VCA</t>
  </si>
  <si>
    <t>MINI DISJUNTOR TRIPOLAR, CAIXA MOLDADA 200A - 10,0KA-220 VCA</t>
  </si>
  <si>
    <t>INTERRUPTOR DE CORRENTE DIFERENCIAL (DR) 2X25 A / 30MA</t>
  </si>
  <si>
    <t>DISPOSITIVO DE PROTEÇÃO CONTRA SURTOS DE CORRENTE - 20KA-185V</t>
  </si>
  <si>
    <t>2.9.1.29</t>
  </si>
  <si>
    <t>2.9.1.30</t>
  </si>
  <si>
    <t>2.9.1.31</t>
  </si>
  <si>
    <t>2.9.1.32</t>
  </si>
  <si>
    <t>2.9.1.33</t>
  </si>
  <si>
    <t>2.9.1.34</t>
  </si>
  <si>
    <t>2.9.1.35</t>
  </si>
  <si>
    <t>2.9.1.36</t>
  </si>
  <si>
    <t>2.9.1.37</t>
  </si>
  <si>
    <t>2.9.1.38</t>
  </si>
  <si>
    <t>2.9.1.39</t>
  </si>
  <si>
    <t>2.9.1.40</t>
  </si>
  <si>
    <t xml:space="preserve">CABO UNIPOLAR #6,0MM² FLEXÍVEL HF, LIVRE DE HALOGÊNIO, 70°C  450/750V </t>
  </si>
  <si>
    <t>2.9.1.41</t>
  </si>
  <si>
    <t>2.9.1.42</t>
  </si>
  <si>
    <t>2.9.1.43</t>
  </si>
  <si>
    <t>2.9.1.44</t>
  </si>
  <si>
    <t>2.9.1.45</t>
  </si>
  <si>
    <t>2.9.1.46</t>
  </si>
  <si>
    <t>2.9.1.47</t>
  </si>
  <si>
    <t>2.9.1.48</t>
  </si>
  <si>
    <t>ELETRODUTO METÁLICO GALVANIZADO 25MM (1")</t>
  </si>
  <si>
    <t>CANALETA DE ALUMINIO COR NATURAL, COM TAMPA 73MMX25MM, COM 1 SEPTO DIVISOR DE 1/3 E 2/3</t>
  </si>
  <si>
    <t>RETIRADA (COM CUIDADO), LIMPEZA PARA POSTERIOR REAPROVEITAMENTO DE CANALETA DE ALUMINIO COR NATURAL, COM TAMPA 73MMX25MM</t>
  </si>
  <si>
    <t>2.9.1.49</t>
  </si>
  <si>
    <t>2.9.1.50</t>
  </si>
  <si>
    <t>2.9.1.51</t>
  </si>
  <si>
    <t>2.9.1.52</t>
  </si>
  <si>
    <t>2.9.1.53</t>
  </si>
  <si>
    <t>RETIRADA DE INTERRUPTORES</t>
  </si>
  <si>
    <t>RETIRADA DE  CIRCUITOS ELÉTRICOS</t>
  </si>
  <si>
    <t>RETIRADA DE  TOMADAS ELÉTRICAS</t>
  </si>
  <si>
    <t>RETIRADA DE  QUADROS ELÉTRICOS</t>
  </si>
  <si>
    <t>DESLOCAMENTO DE CIRCUITOS ELÉTRICOS DE QUADROS QUE SERÃO DESMONTADOS PARA QUADROS PROVISÓRIOS E POSTERIOR RELIGAMENTO DOS MESMOS NOS QUADROS NOVOS</t>
  </si>
  <si>
    <t>CABO TELEFÔNICO TIPO CCI 2 PARES 50X4</t>
  </si>
  <si>
    <t>CURVA 90° PARA ELETRODUTO GALVANIZADO 25MM (1")</t>
  </si>
  <si>
    <t>2.9.2.21</t>
  </si>
  <si>
    <t>CAIXA TIPO CONDULETE COM TAMPA CEGA Ø 32MM (1.1/4")</t>
  </si>
  <si>
    <t>ELETRODUTO METÁLICO GALVANIZADO 32MM (1.1/4")</t>
  </si>
  <si>
    <t>2.10.1.14</t>
  </si>
  <si>
    <t>CURVA DE TRANSPOSIÇÃO CPVC 22MM</t>
  </si>
  <si>
    <t>LUVA DE REDUÇÃO SOLDÁVEL 32MM X 25MM</t>
  </si>
  <si>
    <t>2.10.1.15</t>
  </si>
  <si>
    <t>2.10.1.16</t>
  </si>
  <si>
    <t>TÊ DE REDUÇÃO CPVC 28MM X 22MM</t>
  </si>
  <si>
    <t>TÊ DE REDUÇÃO SOLDÁVEL 32MM X 25MM</t>
  </si>
  <si>
    <t>TUBO CPVC 28MM</t>
  </si>
  <si>
    <t>2.10.1.17</t>
  </si>
  <si>
    <t>2.10.1.18</t>
  </si>
  <si>
    <t>2.10.1.19</t>
  </si>
  <si>
    <t>TUBO SOLDÁVEL 32MM</t>
  </si>
  <si>
    <t>2.10.1.20</t>
  </si>
  <si>
    <t>CAIXA SIFONADA 250X230X75MM</t>
  </si>
  <si>
    <t>JOELHO 90º SÉRIE NORMAL 75MM</t>
  </si>
  <si>
    <t>PROLONGAMENTO PARA CAIXA SIFONADA 250X200MM</t>
  </si>
  <si>
    <t>REDUÇÃO EXCÊNTRICA SÉRIE NORMAL 100X75MM</t>
  </si>
  <si>
    <t>TAMPA CEGA REDONDA DE ALUMÍNIO 250MM</t>
  </si>
  <si>
    <t>TÊ SÉRIE NORMAL 75MM</t>
  </si>
  <si>
    <t>DIFUSOR QUADRADO 3 VIAS EM ALUMÍNIO ANODIZADO C/ CAPTOR DE ACIONAMENTO MANUAL REF. T7 (598x598)mm MOD. DQE-31, TROPICAL OU EQUIVALENTE</t>
  </si>
  <si>
    <t>2.14.21</t>
  </si>
  <si>
    <t>DIFUSOR QUADRADO 4 VIAS EM ALUMÍNIO ANODIZADO C/ CAPTOR DE ACIONAMENTO MANUAL REF. T8 (623x623)mm MOD. DQE-41, TROPICAL OU EQUIVALENTE</t>
  </si>
  <si>
    <t>DIFUSOR QUADRADO 4 VIAS EM ALUMÍNIO ANODIZADO C/ CAPTOR DE ACIONAMENTO MANUAL REF. T9 (694x694)mm MOD. DQE-41, TROPICAL OU EQUIVALENTE</t>
  </si>
  <si>
    <t>2.14.22</t>
  </si>
  <si>
    <t>DIFUSOR QUADRADO 4 VIAS EM ALUMÍNIO ANODIZADO C/ CAPTOR DE ACIONAMENTO MANUAL REF. T7 (598x598)mm MOD. DQE-41, TROPICAL OU EQUIVALENTE</t>
  </si>
  <si>
    <t>DIFUSOR QUADRADO 4 VIAS EM ALUMÍNIO ANODIZADO C/ CAPTOR DE ACIONAMENTO MANUAL REF. T3 (356x356)mm MOD. DQE-41, TROPICAL OU EQUIVALENTE</t>
  </si>
  <si>
    <t>2.14.23</t>
  </si>
  <si>
    <t>2.14.24</t>
  </si>
  <si>
    <t>GRELHA DE RETORNO RETANGULAR P/ FORRO EM ALUMÍNIO ANODIZADO COR DEFINIR EM OBRA
REF.: MOD. RHN (1000x500), TROPICAL OU EQUIVALENTE</t>
  </si>
  <si>
    <t>2.14.25</t>
  </si>
  <si>
    <t>2.14.26</t>
  </si>
  <si>
    <t>2.14.27</t>
  </si>
  <si>
    <t>2.14.28</t>
  </si>
  <si>
    <t>2.14.29</t>
  </si>
  <si>
    <t>2.14.30</t>
  </si>
  <si>
    <t>2.14.31</t>
  </si>
  <si>
    <t>2.14.32</t>
  </si>
  <si>
    <t>2.14.33</t>
  </si>
  <si>
    <t>2.14.34</t>
  </si>
  <si>
    <t>2.14.35</t>
  </si>
  <si>
    <t xml:space="preserve">CONTATOR DE POTÊNCIA  RT10 - 21A - SIEMENS </t>
  </si>
  <si>
    <t xml:space="preserve">CONTATOR DE POTÊNCIA  RT10 - 5A - SIEMENS </t>
  </si>
  <si>
    <t xml:space="preserve">CABO FLEXÍVEL PARA INTERLIGAÇÃO COMANDO 1,5mm2 COR PRETO </t>
  </si>
  <si>
    <t>RELÊ FALTA E SEQUÊNCIA DE FASE 220V - WEG RMW17-FSF01D65</t>
  </si>
  <si>
    <t xml:space="preserve">CONECTORES, ETIQUETAS DE IDENTIFICAÇÃO E  ACESSÓRIOS PARA MONTAGEM DO QUADRO </t>
  </si>
  <si>
    <t>GABINETE DE VENTILAÇÃO GVS-SF 12/9 ARR.3 CL.I 1300rpm - 7.5hp 4POLOS 3F-220/380V-60Hz / VAZÃO 10.870M³/h / PRESSÃOESTÁTICA 300Pa - REF. OTAM OU EQUIVALENTE TÉCNICO</t>
  </si>
  <si>
    <t xml:space="preserve">GRELHA DE RETORNO RHN 500X400 - 1 VIAS </t>
  </si>
  <si>
    <t>VENTILADOR HELICONCÊNTRICO TD-2000/315 SILENT (127V60HZ) 0,466cv BRA VZ - VAZÃO 1.860M³/h - PRESSÃO 52Pa - REF. OTAM OU EQUIVALENTE TÉCNICO</t>
  </si>
  <si>
    <t>QUADRO METÁLICO DE COMANDO 300X400X200mm COM PLACA DE MONTAGEM  - REF. ELETROPOLL OU EQUIVALENTE TÉCNICO</t>
  </si>
  <si>
    <t>DISJUNTOR  MONOPOLAR CURVA C - 6A - 5SX1 - SIEMENS</t>
  </si>
  <si>
    <t>DISJUNTOR  TRIPOLAR CURVA C - 16A - 5SX1 - SIEMENS</t>
  </si>
  <si>
    <t>BLOCO DE CONTATO PARA CONTATORA WEG CDM-25</t>
  </si>
  <si>
    <t>CTG 
TÉRREO</t>
  </si>
  <si>
    <t>UAMP 
TÉRREO</t>
  </si>
  <si>
    <t>BRAIN + PSIQ 2º PAV</t>
  </si>
  <si>
    <t>REUNIÕES 
2º PAV</t>
  </si>
  <si>
    <t>LAB. CÂNCER 
2º PAV</t>
  </si>
  <si>
    <t>2.1.7</t>
  </si>
  <si>
    <t>REMOÇÃO DE DIVISÓRIAS LEVES, DE FORMA MANUAL, SEM REAPROVEITAMENTO</t>
  </si>
  <si>
    <t>DEMOLIÇÃO DE ALVENARIA, DE FORMA MANUAL, SEM REAPROVEITAMENTO</t>
  </si>
  <si>
    <t>2.1.8</t>
  </si>
  <si>
    <t>M3</t>
  </si>
  <si>
    <t>2.4.5</t>
  </si>
  <si>
    <t>ALVENARIA DE VEDAÇÃO DE BLOCOS CERÂMICOS, ESPESSURA 14CM</t>
  </si>
  <si>
    <t>2.7.1.2</t>
  </si>
  <si>
    <t>2.7.1.3</t>
  </si>
  <si>
    <t>CHAPISCO APLICADO EM ALVENARIAS INTERNAS, COM DESEMPENADEIRA DENTADA. ARGAMASSA INDUSTRIALIZADA COM PREPARO MANUAL</t>
  </si>
  <si>
    <t>MASSA ÚNICA EM ARGAMASSA TRAÇO 1:2:8, PREPARO MANUAL, ESPESSURA DE 20MM, COM EXECUÇÃO DE TALISCAS</t>
  </si>
  <si>
    <t>RODAPÉR POLIESTIRENO H=10CM</t>
  </si>
  <si>
    <t>2.8.6</t>
  </si>
  <si>
    <t>2.7.2.2</t>
  </si>
  <si>
    <t>ALÇAPÃO METÁLICO PARA FORRO DE GESSO 40X40CM</t>
  </si>
  <si>
    <t>PERFIL REDUTOR PARA INTERFACE DE PISOS</t>
  </si>
  <si>
    <t>NIVELAMENTO DE PISO</t>
  </si>
  <si>
    <t>REMOÇÃO DE TAMPO E ACESSÓRIOS, DE FORMA MANUAL, SEM REAPROVEITAMENTO</t>
  </si>
  <si>
    <t>REMOÇÃO DE ARMÁRIO BAIXO, DE FORMA MANUAL, SEM REAPROVEIRAMENTO</t>
  </si>
  <si>
    <t>DIVISÓRIA LEVE, FORNECIMENTO E INSTALAÇÃO</t>
  </si>
  <si>
    <t>BUCHA DE REDUÇÃO CPVC 28MM X 22MM</t>
  </si>
  <si>
    <t>CAIXA SIFONADA PVC, 250 X 230 X 75 MM, COM TAMPA E PORTA TAMPA QUADRADA BRANCA</t>
  </si>
  <si>
    <t>INSUMO SINAPI 11880</t>
  </si>
  <si>
    <t>PROLONGAMENTO PVC PARA CAIXA SIFONADA, 250 MM X 200 MM (NBR 5688)</t>
  </si>
  <si>
    <t>PM02 100X210CM - PORTA MADEIRA SEMI-OCA, REVESTIMENTO MELAMÍNICO BRANCO TEXTURIZADO, INCLUINDO DOBRADIÇAS, GUARNIÇÃO MADEIRA MACIÇA, MARCO METÁLICO E ABERTURA PARA VISOR</t>
  </si>
  <si>
    <t>PM03 90X210CM - PORTA MADEIRA SEMI-OCA, REVESTIMENTO MELAMÍNICO BRANCO TEXTURIZADO, INCLUINDO TRILHO, GUARNIÇÃO MADEIRA MACIÇA E MARCO METÁLICO</t>
  </si>
  <si>
    <t>FIXAÇÃO INFERIOR E SUPERIOR PARA PORTA DE VIDRO</t>
  </si>
  <si>
    <t>PUXADOR DUPLO INOX 40CM</t>
  </si>
  <si>
    <t>FIXAÇÃO PARA PORTA DE VIDRO, REF. DORMA BTS65</t>
  </si>
  <si>
    <t>FERRAGENS PARA PORTA INTERNA DE ABRIR, COMPLETA</t>
  </si>
  <si>
    <t>DISPOSITIVO DR, 2 POLOS, SENSIBILIDADE DE 30 MA, CORRENTE DE 25 A, TIPO AC</t>
  </si>
  <si>
    <t>INSUMO SINAPI 39445</t>
  </si>
  <si>
    <t>DISPOSITIVO DPS CLASSE II, 1 POLO, TENSAO MAXIMA DE 175 V, CORRENTE MAXIMA DE *20*KA (TIPO AC)</t>
  </si>
  <si>
    <t>INSUMO SINAPI 39465</t>
  </si>
  <si>
    <t>QUADRO ELÉTRICO EM ESTRUTURA AUTO-PORTANTE COM BARRAMENTO PARA 200A, COM BORNES PARA LIGAÇÃO DOS CIRCUITOS E TRILHOS DIN PARA FIXAÇÃO DOS DISJUNTORES, COM PORTA E TAMPA DE ABERTURA, PARA 86 CIRCUITOS MONOFÁSICOS + 16 DRS, H=2000MM X L=615MM X P=150MM</t>
  </si>
  <si>
    <t>QUADRO ELÉTRICO EM ESTRUTURA AUTO-PORTANTE, COM BARRAMENTO PARA 150A, COM BORNES PARA LIGAÇÃO DOS CIRCUITOS, COM PORTA E TAMPA DE ABERTURA, PARA 56 CIRCUITOS MONOFÁSICOS, H=1400MM X L=615MM X P=150MM</t>
  </si>
  <si>
    <t>QUADRO ELÉTRICO EM ESTRUTURA AUTO-PORTANTE, COM BARRAMENTO PARA 150A, COM BORNES PARA LIGAÇÃO DOS CIRCUITOS, COM PORTA E TAMPA DE ABERTURA, PARA 18 CIRCUITOS MONOFÁSICOS, H=1400MM X L=615MM X P=150MM</t>
  </si>
  <si>
    <t>QUADRO ELÉTRICO EM ESTRUTURA AUTO-PORTANTE, PROVISÓRIO COM BARRAMENTO TRIFÁSICO PARA 200A E  TRILHOS DIN PARA FIXAÇÃO DOS DISJUNTORES, COM PORTA E TAMPA DE ABERTURA, PARA 86 CIRCUITOS MONOFÁSICOS + 8 DRS, H=1900MM X L=615MM X P=150MM</t>
  </si>
  <si>
    <t>CURVA 90 GRAUS, PARA ELETRODUTO, EM ACO GALVANIZADO ELETROLITICO, DIAMETRO DE 25 MM (1")</t>
  </si>
  <si>
    <t>INSUMO SINAPI 2617</t>
  </si>
  <si>
    <t>RETIRADA DE  TOMADAS DE TELECOMUNICAÇÕES</t>
  </si>
  <si>
    <t>SUPORTE PARA EQUIPAMENTOS PARA CANALETA 73MM, COR BRANCA, COM 1 TOMADA  PADRÃO NBR 14136/2012 REF. SUPORTE DUTOTEC DT 61041.00 + TOMADA DUTOTEC 20A / 250V OU EQUIVALENTE TÉCNICO</t>
  </si>
  <si>
    <t xml:space="preserve">TOMADA REDONDA DUTOTEC 20A/250V </t>
  </si>
  <si>
    <t xml:space="preserve">SUPORTE PARA EQUIPAMENTOS, COR BRANCA, PARA CANALETA 73MM COM 1 RJ45 CAT.6 KEYSTONE REF DUTOTEC DT62242.00 + CONECTOR KEYSTONE RJ 45 CAT.6 OU EQUIVALENTE TÉCNICO </t>
  </si>
  <si>
    <t>SUPORTE PARA EQUIPAMENTOS, COR BRANCA, PARA CANALETA 73MM COM 1 RJ11 KEYSTONE REF. SUPORTE DUTOTEC DT 62242.00 E CONECTOR DUTOTEC KEYSTONE RJ 11 OU EQUIVALENTE TÉCNICO</t>
  </si>
  <si>
    <t>SUPORTE PARA EQUIPAMENTOS, COR BRANCA, PARA CANALETA 73MM COM 2 RJ45 CAT 6 KEYSTONE  REF. SUPORTE DUTOTEC DT 62242.00 E CONECTOR DUTOTEC KEYSTONE RJ 45 CAT.6 OU EQUIVALENTE TÉCNICO</t>
  </si>
  <si>
    <t>SUPORTE DUTOTEC DT 6224200</t>
  </si>
  <si>
    <t>COLUNA PISO TETO EM ALUMÍNIO EXTRUDADO, COR BRANCA, DIMENSÃO 3M COM REGULAGEM PARA ATÉ 3,80M, SECÇÃO 100MMX103MM, COM ESPAÇO PARA FIXAÇÃO DE PORTA EQUIPAMENTOS DE LARGURA 73MM , REF. DUTOTEC DT 76240 COM LUVAS DE ARREMATE DT 76940 OU EQUIVALENTE TÉCNICO</t>
  </si>
  <si>
    <t>COLUNA PISO TETO, DIMENSÃO 3M COM REGULAGEM PARA ATÉ 3,80M, SECÇÃO 100MMX103MM, REF. DUTOTEC DT 76240</t>
  </si>
  <si>
    <t>LUVA DE ARREMATE DUTOTEC REF. DT 76940</t>
  </si>
  <si>
    <t>CAIXA PLENUM PARA DIFUSOR TAM.7, COM COLARINHO</t>
  </si>
  <si>
    <t>CAIXA PLENUM PARA DIFUSOR TAM.8, COM COLARINHO</t>
  </si>
  <si>
    <t>CAIXA PLENUM PARA DIFUSOR TAM.9, COM COLARINHO</t>
  </si>
  <si>
    <t>CAIXA PLENUM PARA DIFUSOR TAM.3, COM COLARINHO</t>
  </si>
  <si>
    <t xml:space="preserve">RELÊ DE SOBRECARGA 3RU11 - 17-22A - SIEMENS </t>
  </si>
  <si>
    <t xml:space="preserve">RELÊ DE SOBRECARGA 3RU11 - 2,8-4A - SIEMENS </t>
  </si>
  <si>
    <t xml:space="preserve">RELÊ DE SOBRECARGA 3RU11 - 17- 22A - SIEMENS </t>
  </si>
  <si>
    <t xml:space="preserve">RELÊ DE SOBRECARGA 3RU11 - 2,8- 4A - SIEMENS </t>
  </si>
  <si>
    <r>
      <t xml:space="preserve">DISPENSER SABONETE LÍQUIDO - </t>
    </r>
    <r>
      <rPr>
        <sz val="11"/>
        <color rgb="FFFF0000"/>
        <rFont val="Calibri"/>
      </rPr>
      <t>NÃO CONSIDERADO</t>
    </r>
  </si>
  <si>
    <r>
      <t xml:space="preserve">DISPENSER PAPEL TOALHA - </t>
    </r>
    <r>
      <rPr>
        <sz val="11"/>
        <color rgb="FFFF0000"/>
        <rFont val="Calibri"/>
      </rPr>
      <t>NÃO CONSIDERADO</t>
    </r>
  </si>
  <si>
    <t>MISTURADOR CLÍNICO MONOCOMANDO, WOG. 6456005</t>
  </si>
  <si>
    <t>TAMPO INOX COM CUBA DUPLA 181X60CM</t>
  </si>
  <si>
    <t>MISTURADOR CLÍNICO MONOCOMANDO - ANTECÂMARA</t>
  </si>
  <si>
    <t>MISTURADOR CLÍNICO MONOCOMANDO - SALA DE LAVAGEM</t>
  </si>
  <si>
    <t>2.16.6</t>
  </si>
  <si>
    <t>2.16.7</t>
  </si>
  <si>
    <t>MISTURADOR CLÍNICO MONOCOMANDO, WOG. 6445014</t>
  </si>
  <si>
    <t>SIFAO EM METAL CROMADO PARA PIA OU LAVATORIO, 1 X 1.1/2 "</t>
  </si>
  <si>
    <t>INSUMO SINAPI 6136</t>
  </si>
  <si>
    <t>INSUMO SINAPI 6157</t>
  </si>
  <si>
    <t>VALVULA EM METAL CROMADO PARA PIA</t>
  </si>
  <si>
    <t>GRELHA DE RETORNO RETANGULAR P/ FORRO EM ALUMÍNIO ANODIZADO REF.: MOD. RHN (1200x500), TROPICAL OU EQUIVALENTE</t>
  </si>
  <si>
    <t>GRELHA DE RETORNO RETANGULAR P/ FORRO EM ALUMÍNIO ANODIZADO REF.: MOD. RHN (1000x500), TROPICAL OU EQUIVALENTE</t>
  </si>
  <si>
    <t>CABO DE FORÇA TIPO PP 4X4,0mm2 - IDENTIFICADO</t>
  </si>
  <si>
    <t>Instalações Elétricas</t>
  </si>
  <si>
    <t>R01</t>
  </si>
  <si>
    <t>Revisão de custos com cotações</t>
  </si>
  <si>
    <t>COMPENSADOS PARA ISOLAMENTO DAS ÁREAS DE OBRA - INCLUINDO INSTALAÇÃO</t>
  </si>
  <si>
    <t>REF. JUN/21</t>
  </si>
  <si>
    <t>COTAÇÃO</t>
  </si>
  <si>
    <t>PERFIL PARA INTERFACE DE PISOS</t>
  </si>
  <si>
    <t>CAÇAMBA COLETA SELETIVA</t>
  </si>
  <si>
    <t>INSUMO FRANARIN 7517</t>
  </si>
  <si>
    <t>INSUMO SINAPI 39017</t>
  </si>
  <si>
    <t>MASSA AUTONIVELANTE PARA PISO VINÍLICO</t>
  </si>
  <si>
    <r>
      <t xml:space="preserve">ARMÁRIO PARAMENTAÇÃO - </t>
    </r>
    <r>
      <rPr>
        <sz val="11"/>
        <color rgb="FFFF0000"/>
        <rFont val="Calibri"/>
      </rPr>
      <t>NÃO CONSIDERADO</t>
    </r>
  </si>
  <si>
    <r>
      <t xml:space="preserve">ARMÁRIOS SALA DE LAVAGEM - </t>
    </r>
    <r>
      <rPr>
        <sz val="11"/>
        <color rgb="FFFF0000"/>
        <rFont val="Calibri"/>
      </rPr>
      <t>NÃO CONSIDERADO</t>
    </r>
  </si>
  <si>
    <t>INSUMO SINAPI 34709</t>
  </si>
  <si>
    <t>DIVISÓRIA DE VIDRO, INCLUINDO PORTA DE CORRER 90X210CM E ACESSÓRIOS - INCLUINDO INSTALAÇÃO E PELÍCULA</t>
  </si>
  <si>
    <t>DIVISÓRIA DE VIDRO TEMPERADO LAMINADO 10MM, INCLUINDO PORTAS DE ABRIR 90X260CM E ACESSÓRIOS - INCLUINDO INSTALAÇÃO E PELÍCULA</t>
  </si>
  <si>
    <t>ADESIVO PARA PISO VINÍLICO - pisofix</t>
  </si>
  <si>
    <r>
      <t>Ref.: SINAPI RS - MAIO/2021 -</t>
    </r>
    <r>
      <rPr>
        <sz val="10"/>
        <color indexed="10"/>
        <rFont val="Arial"/>
        <family val="2"/>
      </rPr>
      <t xml:space="preserve"> Não Desonerado</t>
    </r>
  </si>
  <si>
    <t>APLICAÇÃO MANUAL DE PINTURA COM TINTA LÁTEX PVA EM TETO, DUAS DEMÃOS</t>
  </si>
  <si>
    <t>INSUMO FRANARIN 3550</t>
  </si>
  <si>
    <t>R02</t>
  </si>
  <si>
    <t>total térreo</t>
  </si>
  <si>
    <t>total 2º pav</t>
  </si>
  <si>
    <t>DIFUSOR QUADRADO 3 VIAS EM ALUMÍNIO ANODIZADO C/ CAPTOR DE ACIONAMENTO MANUAL
REF. T4 (412x412)mm MOD. DQE-31, TROPICAL OU EQUIVALENTE</t>
  </si>
  <si>
    <t>DIFUSOR QUADRADO 3 VIAS EM ALUMÍNIO ANODIZADO C/ CAPTOR DE ACIONAMENTO MANUAL REF. T4 (412x412)mm MOD. DQE-31, TROPICAL OU EQUIVALENTE</t>
  </si>
  <si>
    <t>ABC DE SERVIÇOS</t>
  </si>
  <si>
    <t>% REP.</t>
  </si>
  <si>
    <t>% ACUM.</t>
  </si>
  <si>
    <t>Separação custos Térreo e 2º pavimento</t>
  </si>
  <si>
    <t>CPE - 2º Pavimento</t>
  </si>
  <si>
    <t>R03</t>
  </si>
  <si>
    <t>Revisão dos custos por pavimento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</si>
</sst>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0.00000"/>
    <numFmt numFmtId="166" formatCode="0,000.00\ &quot;R$/m²&quot;"/>
    <numFmt numFmtId="167" formatCode="#,##0.00000"/>
    <numFmt numFmtId="168" formatCode="#,##0.00&quot; m²&quot;"/>
    <numFmt numFmtId="169" formatCode="_-* #,##0.00000_-;\-* #,##0.00000_-;_-* &quot;-&quot;??_-;_-@_-"/>
    <numFmt numFmtId="170" formatCode="_-* #,##0.000000_-;\-* #,##0.000000_-;_-* &quot;-&quot;??_-;_-@_-"/>
    <numFmt numFmtId="171" formatCode="_-* #,##0.0_-;\-* #,##0.0_-;_-* &quot;-&quot;??_-;_-@_-"/>
    <numFmt numFmtId="172" formatCode="0.000"/>
    <numFmt numFmtId="173" formatCode="0.0000"/>
    <numFmt numFmtId="174" formatCode="0.0000000"/>
  </numFmts>
  <fonts count="8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rinda"/>
      <family val="2"/>
    </font>
    <font>
      <b/>
      <sz val="11"/>
      <name val="Vrind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Vrinda"/>
      <family val="2"/>
    </font>
    <font>
      <b/>
      <sz val="10"/>
      <color indexed="9"/>
      <name val="Vrinda"/>
      <family val="2"/>
    </font>
    <font>
      <sz val="10"/>
      <color indexed="9"/>
      <name val="Vrinda"/>
      <family val="2"/>
    </font>
    <font>
      <b/>
      <sz val="11"/>
      <color indexed="8"/>
      <name val="Vrinda"/>
      <family val="2"/>
    </font>
    <font>
      <b/>
      <sz val="11"/>
      <color indexed="9"/>
      <name val="Vrinda"/>
      <family val="2"/>
    </font>
    <font>
      <b/>
      <i/>
      <sz val="11"/>
      <color indexed="8"/>
      <name val="Vrinda"/>
      <family val="2"/>
    </font>
    <font>
      <sz val="8"/>
      <color indexed="8"/>
      <name val="Vrinda"/>
      <family val="2"/>
    </font>
    <font>
      <b/>
      <sz val="8"/>
      <color indexed="8"/>
      <name val="Vrinda"/>
      <family val="2"/>
    </font>
    <font>
      <b/>
      <sz val="16"/>
      <color indexed="9"/>
      <name val="Vrinda"/>
      <family val="2"/>
    </font>
    <font>
      <b/>
      <sz val="12"/>
      <color indexed="9"/>
      <name val="Vrinda"/>
      <family val="2"/>
    </font>
    <font>
      <b/>
      <sz val="12"/>
      <color indexed="8"/>
      <name val="Vrind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i/>
      <sz val="11"/>
      <color indexed="8"/>
      <name val="Vrinda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sz val="8"/>
      <name val="Vrinda"/>
      <family val="2"/>
    </font>
    <font>
      <sz val="10"/>
      <name val="Vrinda"/>
      <family val="2"/>
    </font>
    <font>
      <sz val="10"/>
      <color indexed="8"/>
      <name val="Vrinda"/>
      <family val="2"/>
    </font>
    <font>
      <b/>
      <sz val="8"/>
      <name val="Vrinda"/>
      <family val="2"/>
    </font>
    <font>
      <sz val="9"/>
      <color indexed="8"/>
      <name val="Vrinda"/>
      <family val="2"/>
    </font>
    <font>
      <sz val="9"/>
      <name val="Vrinda"/>
      <family val="2"/>
    </font>
    <font>
      <sz val="8"/>
      <color indexed="9"/>
      <name val="Vrinda"/>
      <family val="2"/>
    </font>
    <font>
      <sz val="11"/>
      <color theme="1"/>
      <name val="Calibri"/>
      <family val="2"/>
      <scheme val="minor"/>
    </font>
    <font>
      <sz val="11"/>
      <color rgb="FFFF0000"/>
      <name val="Vrinda"/>
      <family val="2"/>
    </font>
    <font>
      <sz val="11"/>
      <color rgb="FFFF000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Vrinda"/>
      <family val="2"/>
    </font>
    <font>
      <b/>
      <sz val="9"/>
      <name val="Vrinda"/>
      <family val="2"/>
    </font>
    <font>
      <b/>
      <sz val="14"/>
      <name val="Calibri"/>
      <family val="2"/>
    </font>
    <font>
      <b/>
      <sz val="10"/>
      <color indexed="8"/>
      <name val="Vrinda"/>
      <family val="2"/>
    </font>
    <font>
      <b/>
      <sz val="10"/>
      <name val="Vrind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3951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hair">
        <color indexed="64"/>
      </bottom>
      <diagonal/>
    </border>
  </borders>
  <cellStyleXfs count="57">
    <xf numFmtId="0" fontId="0" fillId="0" borderId="0"/>
    <xf numFmtId="164" fontId="30" fillId="0" borderId="0" applyFont="0" applyFill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/>
    <xf numFmtId="0" fontId="3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4" applyNumberFormat="0" applyFill="0" applyAlignment="0" applyProtection="0"/>
    <xf numFmtId="0" fontId="56" fillId="0" borderId="65" applyNumberFormat="0" applyFill="0" applyAlignment="0" applyProtection="0"/>
    <xf numFmtId="0" fontId="57" fillId="0" borderId="66" applyNumberFormat="0" applyFill="0" applyAlignment="0" applyProtection="0"/>
    <xf numFmtId="0" fontId="57" fillId="0" borderId="0" applyNumberFormat="0" applyFill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7" borderId="67" applyNumberFormat="0" applyAlignment="0" applyProtection="0"/>
    <xf numFmtId="0" fontId="61" fillId="18" borderId="68" applyNumberFormat="0" applyAlignment="0" applyProtection="0"/>
    <xf numFmtId="0" fontId="62" fillId="18" borderId="67" applyNumberFormat="0" applyAlignment="0" applyProtection="0"/>
    <xf numFmtId="0" fontId="63" fillId="0" borderId="69" applyNumberFormat="0" applyFill="0" applyAlignment="0" applyProtection="0"/>
    <xf numFmtId="0" fontId="64" fillId="19" borderId="70" applyNumberFormat="0" applyAlignment="0" applyProtection="0"/>
    <xf numFmtId="0" fontId="65" fillId="0" borderId="0" applyNumberFormat="0" applyFill="0" applyBorder="0" applyAlignment="0" applyProtection="0"/>
    <xf numFmtId="0" fontId="44" fillId="20" borderId="71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72" applyNumberFormat="0" applyFill="0" applyAlignment="0" applyProtection="0"/>
    <xf numFmtId="0" fontId="68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68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68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68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68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68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69" fillId="16" borderId="0" applyNumberFormat="0" applyBorder="0" applyAlignment="0" applyProtection="0"/>
    <xf numFmtId="0" fontId="68" fillId="24" borderId="0" applyNumberFormat="0" applyBorder="0" applyAlignment="0" applyProtection="0"/>
    <xf numFmtId="0" fontId="68" fillId="28" borderId="0" applyNumberFormat="0" applyBorder="0" applyAlignment="0" applyProtection="0"/>
    <xf numFmtId="0" fontId="68" fillId="32" borderId="0" applyNumberFormat="0" applyBorder="0" applyAlignment="0" applyProtection="0"/>
    <xf numFmtId="0" fontId="68" fillId="36" borderId="0" applyNumberFormat="0" applyBorder="0" applyAlignment="0" applyProtection="0"/>
    <xf numFmtId="0" fontId="68" fillId="40" borderId="0" applyNumberFormat="0" applyBorder="0" applyAlignment="0" applyProtection="0"/>
    <xf numFmtId="0" fontId="68" fillId="44" borderId="0" applyNumberFormat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4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/>
    <xf numFmtId="0" fontId="6" fillId="0" borderId="1" xfId="0" applyFont="1" applyBorder="1"/>
    <xf numFmtId="0" fontId="6" fillId="2" borderId="0" xfId="0" applyFont="1" applyFill="1" applyAlignment="1"/>
    <xf numFmtId="0" fontId="6" fillId="0" borderId="0" xfId="0" applyFont="1" applyAlignment="1"/>
    <xf numFmtId="0" fontId="6" fillId="3" borderId="3" xfId="0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/>
    <xf numFmtId="0" fontId="12" fillId="0" borderId="0" xfId="0" applyFont="1" applyAlignment="1"/>
    <xf numFmtId="0" fontId="12" fillId="0" borderId="0" xfId="0" applyFont="1"/>
    <xf numFmtId="0" fontId="13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3" fillId="3" borderId="3" xfId="0" applyFont="1" applyFill="1" applyBorder="1" applyAlignment="1">
      <alignment horizontal="right"/>
    </xf>
    <xf numFmtId="0" fontId="3" fillId="3" borderId="0" xfId="0" applyFont="1" applyFill="1" applyBorder="1"/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/>
    <xf numFmtId="0" fontId="18" fillId="2" borderId="8" xfId="0" applyFont="1" applyFill="1" applyBorder="1"/>
    <xf numFmtId="0" fontId="18" fillId="2" borderId="0" xfId="0" applyFont="1" applyFill="1" applyBorder="1"/>
    <xf numFmtId="0" fontId="18" fillId="2" borderId="3" xfId="0" applyFont="1" applyFill="1" applyBorder="1"/>
    <xf numFmtId="0" fontId="18" fillId="2" borderId="0" xfId="0" applyFont="1" applyFill="1"/>
    <xf numFmtId="0" fontId="20" fillId="2" borderId="8" xfId="0" applyFont="1" applyFill="1" applyBorder="1"/>
    <xf numFmtId="0" fontId="20" fillId="2" borderId="0" xfId="0" applyFont="1" applyFill="1"/>
    <xf numFmtId="14" fontId="22" fillId="2" borderId="0" xfId="0" applyNumberFormat="1" applyFont="1" applyFill="1" applyBorder="1" applyAlignment="1">
      <alignment horizontal="left"/>
    </xf>
    <xf numFmtId="0" fontId="22" fillId="2" borderId="0" xfId="0" applyFont="1" applyFill="1"/>
    <xf numFmtId="0" fontId="24" fillId="2" borderId="0" xfId="0" applyFont="1" applyFill="1"/>
    <xf numFmtId="0" fontId="26" fillId="2" borderId="0" xfId="0" applyFont="1" applyFill="1"/>
    <xf numFmtId="0" fontId="28" fillId="2" borderId="0" xfId="0" applyFont="1" applyFill="1"/>
    <xf numFmtId="0" fontId="6" fillId="6" borderId="0" xfId="0" applyFont="1" applyFill="1"/>
    <xf numFmtId="0" fontId="12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/>
    <xf numFmtId="0" fontId="12" fillId="0" borderId="10" xfId="0" applyFont="1" applyFill="1" applyBorder="1"/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vertical="center" wrapText="1"/>
    </xf>
    <xf numFmtId="43" fontId="28" fillId="2" borderId="0" xfId="8" applyFont="1" applyFill="1"/>
    <xf numFmtId="0" fontId="6" fillId="2" borderId="0" xfId="0" applyFont="1" applyFill="1" applyAlignment="1">
      <alignment horizontal="right"/>
    </xf>
    <xf numFmtId="14" fontId="2" fillId="2" borderId="0" xfId="0" applyNumberFormat="1" applyFont="1" applyFill="1" applyBorder="1" applyAlignment="1">
      <alignment horizontal="left"/>
    </xf>
    <xf numFmtId="43" fontId="25" fillId="5" borderId="10" xfId="8" applyFont="1" applyFill="1" applyBorder="1" applyAlignment="1">
      <alignment vertical="center"/>
    </xf>
    <xf numFmtId="43" fontId="18" fillId="3" borderId="10" xfId="8" applyFont="1" applyFill="1" applyBorder="1" applyAlignment="1">
      <alignment vertical="center"/>
    </xf>
    <xf numFmtId="0" fontId="1" fillId="2" borderId="0" xfId="0" applyFont="1" applyFill="1"/>
    <xf numFmtId="166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28" fillId="2" borderId="0" xfId="0" applyNumberFormat="1" applyFont="1" applyFill="1"/>
    <xf numFmtId="4" fontId="1" fillId="2" borderId="0" xfId="0" applyNumberFormat="1" applyFont="1" applyFill="1" applyBorder="1"/>
    <xf numFmtId="10" fontId="2" fillId="2" borderId="1" xfId="7" applyNumberFormat="1" applyFont="1" applyFill="1" applyBorder="1" applyAlignment="1">
      <alignment horizontal="center"/>
    </xf>
    <xf numFmtId="0" fontId="32" fillId="2" borderId="11" xfId="0" applyFont="1" applyFill="1" applyBorder="1" applyAlignment="1">
      <alignment horizontal="left" vertical="center" indent="1"/>
    </xf>
    <xf numFmtId="43" fontId="2" fillId="2" borderId="1" xfId="8" applyFont="1" applyFill="1" applyBorder="1" applyAlignment="1">
      <alignment horizontal="center"/>
    </xf>
    <xf numFmtId="43" fontId="6" fillId="2" borderId="0" xfId="0" applyNumberFormat="1" applyFont="1" applyFill="1"/>
    <xf numFmtId="10" fontId="3" fillId="3" borderId="12" xfId="7" applyNumberFormat="1" applyFont="1" applyFill="1" applyBorder="1" applyAlignment="1">
      <alignment horizontal="center"/>
    </xf>
    <xf numFmtId="43" fontId="3" fillId="3" borderId="12" xfId="8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8" fillId="3" borderId="0" xfId="0" applyFont="1" applyFill="1" applyBorder="1"/>
    <xf numFmtId="43" fontId="27" fillId="2" borderId="0" xfId="8" applyFont="1" applyFill="1" applyBorder="1" applyAlignment="1">
      <alignment horizontal="right"/>
    </xf>
    <xf numFmtId="43" fontId="27" fillId="2" borderId="3" xfId="8" applyFont="1" applyFill="1" applyBorder="1" applyAlignment="1">
      <alignment horizontal="right"/>
    </xf>
    <xf numFmtId="0" fontId="20" fillId="2" borderId="3" xfId="0" applyFont="1" applyFill="1" applyBorder="1"/>
    <xf numFmtId="0" fontId="25" fillId="5" borderId="1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2" borderId="0" xfId="0" applyFont="1" applyFill="1" applyBorder="1"/>
    <xf numFmtId="43" fontId="1" fillId="3" borderId="10" xfId="8" applyFont="1" applyFill="1" applyBorder="1" applyAlignment="1">
      <alignment vertical="center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18" fillId="7" borderId="0" xfId="0" applyFont="1" applyFill="1"/>
    <xf numFmtId="0" fontId="21" fillId="0" borderId="0" xfId="0" applyFont="1" applyFill="1"/>
    <xf numFmtId="2" fontId="6" fillId="0" borderId="0" xfId="0" applyNumberFormat="1" applyFont="1" applyAlignment="1"/>
    <xf numFmtId="43" fontId="1" fillId="2" borderId="0" xfId="0" applyNumberFormat="1" applyFont="1" applyFill="1"/>
    <xf numFmtId="10" fontId="6" fillId="2" borderId="0" xfId="0" applyNumberFormat="1" applyFont="1" applyFill="1"/>
    <xf numFmtId="0" fontId="20" fillId="2" borderId="0" xfId="0" applyFont="1" applyFill="1" applyBorder="1"/>
    <xf numFmtId="0" fontId="18" fillId="3" borderId="0" xfId="0" applyFont="1" applyFill="1" applyBorder="1" applyAlignment="1"/>
    <xf numFmtId="0" fontId="6" fillId="8" borderId="0" xfId="0" applyFont="1" applyFill="1"/>
    <xf numFmtId="4" fontId="6" fillId="0" borderId="0" xfId="0" applyNumberFormat="1" applyFont="1" applyAlignment="1"/>
    <xf numFmtId="4" fontId="18" fillId="3" borderId="0" xfId="0" applyNumberFormat="1" applyFont="1" applyFill="1" applyBorder="1"/>
    <xf numFmtId="4" fontId="18" fillId="3" borderId="0" xfId="0" applyNumberFormat="1" applyFont="1" applyFill="1" applyBorder="1" applyAlignment="1">
      <alignment horizontal="right"/>
    </xf>
    <xf numFmtId="4" fontId="28" fillId="2" borderId="0" xfId="0" applyNumberFormat="1" applyFont="1" applyFill="1"/>
    <xf numFmtId="4" fontId="6" fillId="2" borderId="0" xfId="0" applyNumberFormat="1" applyFont="1" applyFill="1" applyBorder="1"/>
    <xf numFmtId="4" fontId="6" fillId="0" borderId="0" xfId="0" applyNumberFormat="1" applyFont="1"/>
    <xf numFmtId="4" fontId="6" fillId="2" borderId="3" xfId="0" applyNumberFormat="1" applyFont="1" applyFill="1" applyBorder="1"/>
    <xf numFmtId="4" fontId="6" fillId="2" borderId="8" xfId="0" applyNumberFormat="1" applyFont="1" applyFill="1" applyBorder="1"/>
    <xf numFmtId="4" fontId="39" fillId="2" borderId="0" xfId="0" applyNumberFormat="1" applyFont="1" applyFill="1" applyBorder="1" applyAlignment="1">
      <alignment horizontal="right"/>
    </xf>
    <xf numFmtId="167" fontId="6" fillId="0" borderId="0" xfId="0" applyNumberFormat="1" applyFont="1"/>
    <xf numFmtId="0" fontId="41" fillId="3" borderId="0" xfId="0" applyFont="1" applyFill="1" applyBorder="1" applyAlignment="1"/>
    <xf numFmtId="0" fontId="41" fillId="2" borderId="0" xfId="0" applyFont="1" applyFill="1" applyBorder="1" applyAlignment="1">
      <alignment horizontal="right"/>
    </xf>
    <xf numFmtId="14" fontId="41" fillId="2" borderId="0" xfId="0" applyNumberFormat="1" applyFont="1" applyFill="1" applyBorder="1" applyAlignment="1">
      <alignment horizontal="left"/>
    </xf>
    <xf numFmtId="0" fontId="6" fillId="2" borderId="8" xfId="0" applyFont="1" applyFill="1" applyBorder="1"/>
    <xf numFmtId="0" fontId="6" fillId="2" borderId="3" xfId="0" applyFont="1" applyFill="1" applyBorder="1"/>
    <xf numFmtId="0" fontId="11" fillId="2" borderId="0" xfId="0" applyFont="1" applyFill="1" applyBorder="1" applyAlignment="1">
      <alignment horizontal="right"/>
    </xf>
    <xf numFmtId="43" fontId="33" fillId="2" borderId="0" xfId="8" applyFont="1" applyFill="1" applyBorder="1" applyAlignment="1">
      <alignment horizontal="right"/>
    </xf>
    <xf numFmtId="10" fontId="11" fillId="2" borderId="3" xfId="7" applyNumberFormat="1" applyFont="1" applyFill="1" applyBorder="1"/>
    <xf numFmtId="43" fontId="11" fillId="2" borderId="0" xfId="8" applyFont="1" applyFill="1" applyBorder="1"/>
    <xf numFmtId="43" fontId="2" fillId="2" borderId="18" xfId="8" applyFont="1" applyFill="1" applyBorder="1" applyAlignment="1">
      <alignment horizontal="center"/>
    </xf>
    <xf numFmtId="10" fontId="2" fillId="2" borderId="18" xfId="7" applyNumberFormat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9" fontId="6" fillId="2" borderId="0" xfId="0" applyNumberFormat="1" applyFont="1" applyFill="1"/>
    <xf numFmtId="43" fontId="1" fillId="0" borderId="10" xfId="8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10" fontId="21" fillId="0" borderId="0" xfId="7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0" fontId="6" fillId="2" borderId="3" xfId="0" applyFont="1" applyFill="1" applyBorder="1" applyAlignment="1"/>
    <xf numFmtId="0" fontId="41" fillId="2" borderId="0" xfId="0" applyFont="1" applyFill="1" applyBorder="1" applyAlignment="1"/>
    <xf numFmtId="0" fontId="41" fillId="2" borderId="3" xfId="0" applyFont="1" applyFill="1" applyBorder="1" applyAlignment="1">
      <alignment horizontal="right"/>
    </xf>
    <xf numFmtId="0" fontId="12" fillId="3" borderId="0" xfId="0" applyFont="1" applyFill="1" applyBorder="1" applyAlignment="1"/>
    <xf numFmtId="4" fontId="6" fillId="3" borderId="0" xfId="0" applyNumberFormat="1" applyFont="1" applyFill="1" applyBorder="1" applyAlignment="1"/>
    <xf numFmtId="44" fontId="6" fillId="2" borderId="0" xfId="0" applyNumberFormat="1" applyFont="1" applyFill="1" applyAlignment="1"/>
    <xf numFmtId="0" fontId="6" fillId="0" borderId="18" xfId="0" applyFont="1" applyBorder="1"/>
    <xf numFmtId="44" fontId="6" fillId="0" borderId="0" xfId="0" applyNumberFormat="1" applyFont="1" applyAlignment="1"/>
    <xf numFmtId="43" fontId="18" fillId="7" borderId="0" xfId="0" applyNumberFormat="1" applyFont="1" applyFill="1"/>
    <xf numFmtId="0" fontId="45" fillId="0" borderId="0" xfId="0" applyFont="1"/>
    <xf numFmtId="0" fontId="21" fillId="0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43" fontId="21" fillId="0" borderId="0" xfId="0" applyNumberFormat="1" applyFont="1" applyFill="1" applyAlignment="1">
      <alignment horizontal="center"/>
    </xf>
    <xf numFmtId="43" fontId="18" fillId="2" borderId="0" xfId="0" applyNumberFormat="1" applyFont="1" applyFill="1" applyAlignment="1">
      <alignment horizontal="center"/>
    </xf>
    <xf numFmtId="0" fontId="6" fillId="0" borderId="12" xfId="0" applyFont="1" applyBorder="1"/>
    <xf numFmtId="0" fontId="46" fillId="2" borderId="0" xfId="0" applyFont="1" applyFill="1" applyAlignment="1">
      <alignment wrapText="1"/>
    </xf>
    <xf numFmtId="44" fontId="28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4" fontId="6" fillId="3" borderId="3" xfId="0" applyNumberFormat="1" applyFont="1" applyFill="1" applyBorder="1" applyAlignment="1"/>
    <xf numFmtId="43" fontId="26" fillId="2" borderId="0" xfId="0" applyNumberFormat="1" applyFont="1" applyFill="1" applyAlignment="1">
      <alignment horizontal="center"/>
    </xf>
    <xf numFmtId="0" fontId="25" fillId="5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43" fontId="6" fillId="2" borderId="0" xfId="0" applyNumberFormat="1" applyFont="1" applyFill="1" applyAlignment="1">
      <alignment horizontal="left"/>
    </xf>
    <xf numFmtId="10" fontId="6" fillId="2" borderId="0" xfId="7" applyNumberFormat="1" applyFont="1" applyFill="1" applyAlignment="1">
      <alignment horizontal="left"/>
    </xf>
    <xf numFmtId="10" fontId="6" fillId="2" borderId="0" xfId="0" applyNumberFormat="1" applyFont="1" applyFill="1" applyAlignment="1">
      <alignment horizontal="left"/>
    </xf>
    <xf numFmtId="169" fontId="13" fillId="0" borderId="10" xfId="8" applyNumberFormat="1" applyFont="1" applyFill="1" applyBorder="1"/>
    <xf numFmtId="169" fontId="12" fillId="0" borderId="10" xfId="8" applyNumberFormat="1" applyFont="1" applyFill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43" fontId="6" fillId="2" borderId="0" xfId="8" applyFont="1" applyFill="1" applyAlignment="1"/>
    <xf numFmtId="44" fontId="6" fillId="0" borderId="0" xfId="0" applyNumberFormat="1" applyFont="1" applyBorder="1"/>
    <xf numFmtId="0" fontId="7" fillId="4" borderId="25" xfId="0" applyFont="1" applyFill="1" applyBorder="1" applyAlignment="1">
      <alignment horizontal="center" shrinkToFit="1"/>
    </xf>
    <xf numFmtId="4" fontId="7" fillId="4" borderId="34" xfId="0" applyNumberFormat="1" applyFont="1" applyFill="1" applyBorder="1" applyAlignment="1">
      <alignment horizontal="center" shrinkToFit="1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5" xfId="0" applyFont="1" applyFill="1" applyBorder="1"/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4" fontId="12" fillId="3" borderId="13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/>
    </xf>
    <xf numFmtId="17" fontId="12" fillId="0" borderId="10" xfId="0" applyNumberFormat="1" applyFont="1" applyFill="1" applyBorder="1" applyAlignment="1"/>
    <xf numFmtId="0" fontId="25" fillId="5" borderId="36" xfId="0" applyFont="1" applyFill="1" applyBorder="1" applyAlignment="1">
      <alignment vertical="center" wrapText="1"/>
    </xf>
    <xf numFmtId="0" fontId="25" fillId="5" borderId="36" xfId="0" applyFont="1" applyFill="1" applyBorder="1" applyAlignment="1">
      <alignment vertical="center"/>
    </xf>
    <xf numFmtId="4" fontId="25" fillId="5" borderId="36" xfId="0" applyNumberFormat="1" applyFont="1" applyFill="1" applyBorder="1" applyAlignment="1">
      <alignment vertical="center"/>
    </xf>
    <xf numFmtId="43" fontId="25" fillId="5" borderId="36" xfId="8" applyFont="1" applyFill="1" applyBorder="1" applyAlignment="1">
      <alignment vertical="center"/>
    </xf>
    <xf numFmtId="10" fontId="25" fillId="5" borderId="37" xfId="7" applyNumberFormat="1" applyFont="1" applyFill="1" applyBorder="1" applyAlignment="1">
      <alignment vertical="center"/>
    </xf>
    <xf numFmtId="10" fontId="1" fillId="3" borderId="13" xfId="7" applyNumberFormat="1" applyFont="1" applyFill="1" applyBorder="1" applyAlignment="1">
      <alignment vertical="center"/>
    </xf>
    <xf numFmtId="10" fontId="1" fillId="0" borderId="13" xfId="7" applyNumberFormat="1" applyFont="1" applyFill="1" applyBorder="1" applyAlignment="1">
      <alignment vertical="center"/>
    </xf>
    <xf numFmtId="10" fontId="25" fillId="5" borderId="13" xfId="7" applyNumberFormat="1" applyFont="1" applyFill="1" applyBorder="1" applyAlignment="1">
      <alignment vertical="center"/>
    </xf>
    <xf numFmtId="10" fontId="1" fillId="3" borderId="13" xfId="7" applyNumberFormat="1" applyFont="1" applyFill="1" applyBorder="1"/>
    <xf numFmtId="0" fontId="48" fillId="2" borderId="0" xfId="0" applyFont="1" applyFill="1" applyBorder="1" applyAlignment="1">
      <alignment horizontal="right"/>
    </xf>
    <xf numFmtId="43" fontId="48" fillId="2" borderId="0" xfId="8" applyFont="1" applyFill="1" applyBorder="1" applyAlignment="1">
      <alignment horizontal="right"/>
    </xf>
    <xf numFmtId="0" fontId="13" fillId="0" borderId="3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 wrapText="1"/>
    </xf>
    <xf numFmtId="169" fontId="13" fillId="0" borderId="39" xfId="8" applyNumberFormat="1" applyFont="1" applyFill="1" applyBorder="1" applyAlignment="1">
      <alignment vertical="center"/>
    </xf>
    <xf numFmtId="0" fontId="13" fillId="0" borderId="10" xfId="0" applyFont="1" applyFill="1" applyBorder="1"/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43" fontId="12" fillId="0" borderId="10" xfId="8" applyFont="1" applyFill="1" applyBorder="1"/>
    <xf numFmtId="43" fontId="13" fillId="0" borderId="10" xfId="8" applyFont="1" applyFill="1" applyBorder="1"/>
    <xf numFmtId="43" fontId="13" fillId="0" borderId="39" xfId="8" applyFont="1" applyFill="1" applyBorder="1" applyAlignment="1">
      <alignment vertical="center"/>
    </xf>
    <xf numFmtId="43" fontId="13" fillId="0" borderId="10" xfId="8" applyFont="1" applyFill="1" applyBorder="1" applyAlignment="1">
      <alignment horizontal="right"/>
    </xf>
    <xf numFmtId="0" fontId="13" fillId="0" borderId="15" xfId="0" applyFont="1" applyFill="1" applyBorder="1"/>
    <xf numFmtId="2" fontId="13" fillId="0" borderId="10" xfId="0" applyNumberFormat="1" applyFont="1" applyFill="1" applyBorder="1"/>
    <xf numFmtId="2" fontId="1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/>
    <xf numFmtId="0" fontId="6" fillId="11" borderId="0" xfId="0" applyFont="1" applyFill="1" applyBorder="1"/>
    <xf numFmtId="167" fontId="6" fillId="11" borderId="0" xfId="0" applyNumberFormat="1" applyFont="1" applyFill="1" applyBorder="1"/>
    <xf numFmtId="170" fontId="13" fillId="0" borderId="10" xfId="8" applyNumberFormat="1" applyFont="1" applyFill="1" applyBorder="1" applyAlignment="1">
      <alignment horizontal="right"/>
    </xf>
    <xf numFmtId="170" fontId="12" fillId="0" borderId="10" xfId="8" applyNumberFormat="1" applyFont="1" applyFill="1" applyBorder="1"/>
    <xf numFmtId="170" fontId="13" fillId="0" borderId="10" xfId="8" applyNumberFormat="1" applyFont="1" applyFill="1" applyBorder="1"/>
    <xf numFmtId="170" fontId="13" fillId="0" borderId="39" xfId="8" applyNumberFormat="1" applyFont="1" applyFill="1" applyBorder="1" applyAlignment="1">
      <alignment vertical="center"/>
    </xf>
    <xf numFmtId="170" fontId="6" fillId="0" borderId="0" xfId="8" applyNumberFormat="1" applyFont="1" applyFill="1"/>
    <xf numFmtId="43" fontId="13" fillId="0" borderId="13" xfId="8" applyFont="1" applyFill="1" applyBorder="1" applyAlignment="1">
      <alignment horizontal="right"/>
    </xf>
    <xf numFmtId="43" fontId="13" fillId="0" borderId="13" xfId="8" applyFont="1" applyFill="1" applyBorder="1" applyAlignment="1">
      <alignment horizontal="center"/>
    </xf>
    <xf numFmtId="43" fontId="6" fillId="0" borderId="40" xfId="8" applyFont="1" applyFill="1" applyBorder="1"/>
    <xf numFmtId="43" fontId="6" fillId="0" borderId="13" xfId="8" applyFont="1" applyFill="1" applyBorder="1"/>
    <xf numFmtId="43" fontId="12" fillId="0" borderId="13" xfId="8" applyFont="1" applyFill="1" applyBorder="1"/>
    <xf numFmtId="0" fontId="49" fillId="3" borderId="8" xfId="0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left"/>
    </xf>
    <xf numFmtId="0" fontId="8" fillId="4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51" fillId="3" borderId="7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left" vertical="center" wrapText="1"/>
    </xf>
    <xf numFmtId="0" fontId="6" fillId="0" borderId="8" xfId="0" applyFont="1" applyBorder="1"/>
    <xf numFmtId="0" fontId="6" fillId="0" borderId="3" xfId="0" applyFont="1" applyBorder="1"/>
    <xf numFmtId="0" fontId="9" fillId="0" borderId="8" xfId="0" applyFont="1" applyBorder="1"/>
    <xf numFmtId="10" fontId="22" fillId="2" borderId="0" xfId="0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8" fillId="3" borderId="3" xfId="0" applyFont="1" applyFill="1" applyBorder="1"/>
    <xf numFmtId="0" fontId="21" fillId="2" borderId="0" xfId="0" applyFont="1" applyFill="1" applyBorder="1" applyAlignment="1">
      <alignment horizontal="right"/>
    </xf>
    <xf numFmtId="0" fontId="21" fillId="2" borderId="3" xfId="0" applyFont="1" applyFill="1" applyBorder="1"/>
    <xf numFmtId="10" fontId="21" fillId="2" borderId="0" xfId="0" applyNumberFormat="1" applyFont="1" applyFill="1" applyBorder="1" applyAlignment="1">
      <alignment horizontal="left"/>
    </xf>
    <xf numFmtId="0" fontId="24" fillId="2" borderId="0" xfId="0" applyFont="1" applyFill="1" applyBorder="1"/>
    <xf numFmtId="0" fontId="5" fillId="4" borderId="0" xfId="0" applyFont="1" applyFill="1" applyBorder="1" applyAlignment="1">
      <alignment horizontal="center" wrapText="1"/>
    </xf>
    <xf numFmtId="0" fontId="10" fillId="9" borderId="0" xfId="0" applyFont="1" applyFill="1" applyBorder="1" applyAlignment="1">
      <alignment horizontal="center"/>
    </xf>
    <xf numFmtId="0" fontId="18" fillId="2" borderId="43" xfId="0" applyFont="1" applyFill="1" applyBorder="1"/>
    <xf numFmtId="0" fontId="18" fillId="2" borderId="44" xfId="0" applyFont="1" applyFill="1" applyBorder="1"/>
    <xf numFmtId="0" fontId="18" fillId="2" borderId="45" xfId="0" applyFont="1" applyFill="1" applyBorder="1"/>
    <xf numFmtId="0" fontId="18" fillId="3" borderId="47" xfId="0" applyFont="1" applyFill="1" applyBorder="1"/>
    <xf numFmtId="0" fontId="19" fillId="3" borderId="47" xfId="0" applyFont="1" applyFill="1" applyBorder="1"/>
    <xf numFmtId="4" fontId="19" fillId="3" borderId="47" xfId="0" applyNumberFormat="1" applyFont="1" applyFill="1" applyBorder="1" applyAlignment="1">
      <alignment horizontal="right"/>
    </xf>
    <xf numFmtId="0" fontId="20" fillId="3" borderId="47" xfId="0" applyFont="1" applyFill="1" applyBorder="1"/>
    <xf numFmtId="0" fontId="20" fillId="3" borderId="48" xfId="0" applyFont="1" applyFill="1" applyBorder="1"/>
    <xf numFmtId="0" fontId="23" fillId="4" borderId="54" xfId="0" applyFont="1" applyFill="1" applyBorder="1" applyAlignment="1">
      <alignment horizontal="center" vertical="top" wrapText="1"/>
    </xf>
    <xf numFmtId="0" fontId="5" fillId="4" borderId="5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wrapText="1"/>
    </xf>
    <xf numFmtId="0" fontId="1" fillId="2" borderId="44" xfId="0" applyFont="1" applyFill="1" applyBorder="1" applyAlignment="1">
      <alignment horizontal="center" vertical="center"/>
    </xf>
    <xf numFmtId="4" fontId="1" fillId="0" borderId="44" xfId="0" applyNumberFormat="1" applyFont="1" applyFill="1" applyBorder="1"/>
    <xf numFmtId="43" fontId="1" fillId="2" borderId="44" xfId="8" applyFont="1" applyFill="1" applyBorder="1" applyAlignment="1">
      <alignment vertical="center"/>
    </xf>
    <xf numFmtId="4" fontId="1" fillId="2" borderId="44" xfId="0" applyNumberFormat="1" applyFont="1" applyFill="1" applyBorder="1"/>
    <xf numFmtId="0" fontId="1" fillId="2" borderId="45" xfId="0" applyFont="1" applyFill="1" applyBorder="1"/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/>
    <xf numFmtId="4" fontId="1" fillId="2" borderId="47" xfId="0" applyNumberFormat="1" applyFont="1" applyFill="1" applyBorder="1"/>
    <xf numFmtId="0" fontId="1" fillId="2" borderId="48" xfId="0" applyFont="1" applyFill="1" applyBorder="1"/>
    <xf numFmtId="10" fontId="28" fillId="2" borderId="0" xfId="7" applyNumberFormat="1" applyFont="1" applyFill="1"/>
    <xf numFmtId="0" fontId="32" fillId="2" borderId="58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left" vertical="center" indent="1"/>
    </xf>
    <xf numFmtId="43" fontId="6" fillId="0" borderId="0" xfId="0" applyNumberFormat="1" applyFont="1"/>
    <xf numFmtId="0" fontId="49" fillId="3" borderId="43" xfId="0" applyFont="1" applyFill="1" applyBorder="1" applyAlignment="1">
      <alignment horizontal="right"/>
    </xf>
    <xf numFmtId="0" fontId="41" fillId="3" borderId="44" xfId="0" applyFont="1" applyFill="1" applyBorder="1" applyAlignment="1"/>
    <xf numFmtId="0" fontId="6" fillId="3" borderId="44" xfId="0" applyFont="1" applyFill="1" applyBorder="1" applyAlignment="1"/>
    <xf numFmtId="0" fontId="6" fillId="3" borderId="45" xfId="0" applyFont="1" applyFill="1" applyBorder="1" applyAlignment="1"/>
    <xf numFmtId="0" fontId="6" fillId="0" borderId="44" xfId="0" applyFont="1" applyFill="1" applyBorder="1" applyAlignment="1"/>
    <xf numFmtId="0" fontId="6" fillId="0" borderId="45" xfId="0" applyFont="1" applyFill="1" applyBorder="1" applyAlignment="1"/>
    <xf numFmtId="0" fontId="41" fillId="3" borderId="47" xfId="0" applyFont="1" applyFill="1" applyBorder="1" applyAlignment="1"/>
    <xf numFmtId="0" fontId="6" fillId="3" borderId="47" xfId="0" applyFont="1" applyFill="1" applyBorder="1" applyAlignment="1"/>
    <xf numFmtId="0" fontId="6" fillId="3" borderId="48" xfId="0" applyFont="1" applyFill="1" applyBorder="1" applyAlignment="1"/>
    <xf numFmtId="0" fontId="50" fillId="2" borderId="49" xfId="0" applyFont="1" applyFill="1" applyBorder="1" applyAlignment="1">
      <alignment horizontal="right"/>
    </xf>
    <xf numFmtId="0" fontId="42" fillId="2" borderId="50" xfId="0" applyFont="1" applyFill="1" applyBorder="1" applyAlignment="1"/>
    <xf numFmtId="0" fontId="8" fillId="4" borderId="57" xfId="0" applyFont="1" applyFill="1" applyBorder="1" applyAlignment="1">
      <alignment horizontal="center" vertical="center"/>
    </xf>
    <xf numFmtId="2" fontId="8" fillId="4" borderId="57" xfId="0" applyNumberFormat="1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vertical="center"/>
    </xf>
    <xf numFmtId="0" fontId="13" fillId="3" borderId="43" xfId="0" applyFont="1" applyFill="1" applyBorder="1" applyAlignment="1">
      <alignment horizontal="right"/>
    </xf>
    <xf numFmtId="0" fontId="12" fillId="3" borderId="44" xfId="0" applyFont="1" applyFill="1" applyBorder="1" applyAlignment="1"/>
    <xf numFmtId="4" fontId="6" fillId="3" borderId="44" xfId="0" applyNumberFormat="1" applyFont="1" applyFill="1" applyBorder="1" applyAlignment="1"/>
    <xf numFmtId="4" fontId="6" fillId="3" borderId="45" xfId="0" applyNumberFormat="1" applyFont="1" applyFill="1" applyBorder="1" applyAlignment="1"/>
    <xf numFmtId="0" fontId="12" fillId="3" borderId="47" xfId="0" applyFont="1" applyFill="1" applyBorder="1" applyAlignment="1"/>
    <xf numFmtId="4" fontId="6" fillId="3" borderId="47" xfId="0" applyNumberFormat="1" applyFont="1" applyFill="1" applyBorder="1" applyAlignment="1"/>
    <xf numFmtId="4" fontId="6" fillId="3" borderId="48" xfId="0" applyNumberFormat="1" applyFont="1" applyFill="1" applyBorder="1" applyAlignment="1"/>
    <xf numFmtId="0" fontId="40" fillId="2" borderId="49" xfId="0" applyFont="1" applyFill="1" applyBorder="1" applyAlignment="1">
      <alignment horizontal="center"/>
    </xf>
    <xf numFmtId="0" fontId="37" fillId="2" borderId="50" xfId="0" applyFont="1" applyFill="1" applyBorder="1" applyAlignment="1"/>
    <xf numFmtId="0" fontId="2" fillId="2" borderId="50" xfId="0" applyFont="1" applyFill="1" applyBorder="1" applyAlignment="1"/>
    <xf numFmtId="4" fontId="38" fillId="2" borderId="50" xfId="0" applyNumberFormat="1" applyFont="1" applyFill="1" applyBorder="1" applyAlignment="1">
      <alignment horizontal="right"/>
    </xf>
    <xf numFmtId="4" fontId="38" fillId="0" borderId="50" xfId="0" applyNumberFormat="1" applyFont="1" applyFill="1" applyBorder="1" applyAlignment="1">
      <alignment horizontal="right"/>
    </xf>
    <xf numFmtId="10" fontId="38" fillId="0" borderId="47" xfId="0" applyNumberFormat="1" applyFont="1" applyFill="1" applyBorder="1" applyAlignment="1">
      <alignment horizontal="left"/>
    </xf>
    <xf numFmtId="0" fontId="39" fillId="2" borderId="47" xfId="0" applyFont="1" applyFill="1" applyBorder="1" applyAlignment="1">
      <alignment horizontal="right"/>
    </xf>
    <xf numFmtId="4" fontId="8" fillId="4" borderId="57" xfId="0" applyNumberFormat="1" applyFont="1" applyFill="1" applyBorder="1" applyAlignment="1">
      <alignment horizontal="center" vertical="center" wrapText="1"/>
    </xf>
    <xf numFmtId="4" fontId="43" fillId="4" borderId="57" xfId="0" applyNumberFormat="1" applyFont="1" applyFill="1" applyBorder="1" applyAlignment="1">
      <alignment horizontal="center" vertical="center" wrapText="1"/>
    </xf>
    <xf numFmtId="0" fontId="8" fillId="4" borderId="57" xfId="0" applyNumberFormat="1" applyFont="1" applyFill="1" applyBorder="1" applyAlignment="1">
      <alignment horizontal="center" vertical="center" wrapText="1"/>
    </xf>
    <xf numFmtId="0" fontId="6" fillId="11" borderId="44" xfId="0" applyFont="1" applyFill="1" applyBorder="1"/>
    <xf numFmtId="167" fontId="6" fillId="11" borderId="44" xfId="0" applyNumberFormat="1" applyFont="1" applyFill="1" applyBorder="1"/>
    <xf numFmtId="4" fontId="6" fillId="2" borderId="43" xfId="0" applyNumberFormat="1" applyFont="1" applyFill="1" applyBorder="1"/>
    <xf numFmtId="0" fontId="6" fillId="2" borderId="44" xfId="0" applyFont="1" applyFill="1" applyBorder="1"/>
    <xf numFmtId="4" fontId="6" fillId="2" borderId="44" xfId="0" applyNumberFormat="1" applyFont="1" applyFill="1" applyBorder="1"/>
    <xf numFmtId="4" fontId="6" fillId="2" borderId="45" xfId="0" applyNumberFormat="1" applyFont="1" applyFill="1" applyBorder="1"/>
    <xf numFmtId="0" fontId="38" fillId="2" borderId="49" xfId="0" applyFont="1" applyFill="1" applyBorder="1" applyAlignment="1">
      <alignment horizontal="right"/>
    </xf>
    <xf numFmtId="9" fontId="38" fillId="2" borderId="50" xfId="0" applyNumberFormat="1" applyFont="1" applyFill="1" applyBorder="1" applyAlignment="1">
      <alignment horizontal="left"/>
    </xf>
    <xf numFmtId="0" fontId="38" fillId="2" borderId="50" xfId="0" applyFont="1" applyFill="1" applyBorder="1"/>
    <xf numFmtId="167" fontId="38" fillId="2" borderId="50" xfId="0" applyNumberFormat="1" applyFont="1" applyFill="1" applyBorder="1"/>
    <xf numFmtId="14" fontId="38" fillId="2" borderId="47" xfId="0" applyNumberFormat="1" applyFont="1" applyFill="1" applyBorder="1" applyAlignment="1">
      <alignment horizontal="left"/>
    </xf>
    <xf numFmtId="4" fontId="39" fillId="2" borderId="47" xfId="0" applyNumberFormat="1" applyFont="1" applyFill="1" applyBorder="1" applyAlignment="1">
      <alignment horizontal="right"/>
    </xf>
    <xf numFmtId="4" fontId="39" fillId="2" borderId="48" xfId="0" applyNumberFormat="1" applyFont="1" applyFill="1" applyBorder="1"/>
    <xf numFmtId="0" fontId="7" fillId="4" borderId="57" xfId="0" applyFont="1" applyFill="1" applyBorder="1" applyAlignment="1">
      <alignment horizontal="center" shrinkToFit="1"/>
    </xf>
    <xf numFmtId="2" fontId="7" fillId="4" borderId="57" xfId="0" applyNumberFormat="1" applyFont="1" applyFill="1" applyBorder="1" applyAlignment="1">
      <alignment horizontal="center" shrinkToFit="1"/>
    </xf>
    <xf numFmtId="167" fontId="7" fillId="4" borderId="57" xfId="0" applyNumberFormat="1" applyFont="1" applyFill="1" applyBorder="1" applyAlignment="1">
      <alignment horizontal="center" shrinkToFit="1"/>
    </xf>
    <xf numFmtId="4" fontId="7" fillId="4" borderId="57" xfId="0" applyNumberFormat="1" applyFont="1" applyFill="1" applyBorder="1" applyAlignment="1">
      <alignment horizontal="center" shrinkToFit="1"/>
    </xf>
    <xf numFmtId="43" fontId="48" fillId="2" borderId="3" xfId="8" applyFont="1" applyFill="1" applyBorder="1" applyAlignment="1">
      <alignment horizontal="right"/>
    </xf>
    <xf numFmtId="0" fontId="3" fillId="2" borderId="49" xfId="0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10" fontId="2" fillId="0" borderId="44" xfId="0" applyNumberFormat="1" applyFont="1" applyFill="1" applyBorder="1" applyAlignment="1">
      <alignment horizontal="left"/>
    </xf>
    <xf numFmtId="0" fontId="2" fillId="0" borderId="51" xfId="0" applyNumberFormat="1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11" fillId="2" borderId="47" xfId="0" applyFont="1" applyFill="1" applyBorder="1" applyAlignment="1">
      <alignment horizontal="right"/>
    </xf>
    <xf numFmtId="43" fontId="11" fillId="2" borderId="47" xfId="8" applyFont="1" applyFill="1" applyBorder="1" applyAlignment="1">
      <alignment horizontal="right"/>
    </xf>
    <xf numFmtId="0" fontId="6" fillId="2" borderId="48" xfId="0" applyFont="1" applyFill="1" applyBorder="1"/>
    <xf numFmtId="43" fontId="41" fillId="2" borderId="0" xfId="0" applyNumberFormat="1" applyFont="1" applyFill="1"/>
    <xf numFmtId="43" fontId="41" fillId="2" borderId="0" xfId="7" applyNumberFormat="1" applyFont="1" applyFill="1" applyAlignment="1">
      <alignment horizontal="left"/>
    </xf>
    <xf numFmtId="0" fontId="41" fillId="2" borderId="0" xfId="0" applyFont="1" applyFill="1" applyAlignment="1">
      <alignment horizontal="right"/>
    </xf>
    <xf numFmtId="0" fontId="49" fillId="3" borderId="59" xfId="0" applyFont="1" applyFill="1" applyBorder="1" applyAlignment="1">
      <alignment horizontal="right"/>
    </xf>
    <xf numFmtId="0" fontId="36" fillId="13" borderId="8" xfId="0" applyFont="1" applyFill="1" applyBorder="1" applyAlignment="1">
      <alignment horizontal="center" vertical="center" wrapText="1"/>
    </xf>
    <xf numFmtId="0" fontId="36" fillId="13" borderId="0" xfId="0" applyFont="1" applyFill="1" applyBorder="1" applyAlignment="1">
      <alignment horizontal="left" vertical="center" wrapText="1"/>
    </xf>
    <xf numFmtId="0" fontId="35" fillId="13" borderId="0" xfId="0" applyFont="1" applyFill="1" applyBorder="1" applyAlignment="1">
      <alignment horizontal="center" vertical="center" wrapText="1"/>
    </xf>
    <xf numFmtId="4" fontId="5" fillId="13" borderId="0" xfId="0" applyNumberFormat="1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/>
    </xf>
    <xf numFmtId="43" fontId="5" fillId="13" borderId="0" xfId="0" applyNumberFormat="1" applyFont="1" applyFill="1" applyBorder="1" applyAlignment="1">
      <alignment horizontal="center" vertical="center"/>
    </xf>
    <xf numFmtId="10" fontId="5" fillId="13" borderId="14" xfId="7" applyNumberFormat="1" applyFont="1" applyFill="1" applyBorder="1" applyAlignment="1">
      <alignment horizontal="center" vertical="center"/>
    </xf>
    <xf numFmtId="44" fontId="6" fillId="0" borderId="6" xfId="3" applyFont="1" applyFill="1" applyBorder="1" applyAlignment="1">
      <alignment horizontal="center"/>
    </xf>
    <xf numFmtId="0" fontId="52" fillId="11" borderId="43" xfId="0" applyFont="1" applyFill="1" applyBorder="1" applyAlignment="1">
      <alignment horizontal="right"/>
    </xf>
    <xf numFmtId="0" fontId="39" fillId="11" borderId="44" xfId="0" applyFont="1" applyFill="1" applyBorder="1"/>
    <xf numFmtId="0" fontId="52" fillId="11" borderId="8" xfId="0" applyFont="1" applyFill="1" applyBorder="1" applyAlignment="1">
      <alignment horizontal="right"/>
    </xf>
    <xf numFmtId="0" fontId="39" fillId="11" borderId="0" xfId="0" applyFont="1" applyFill="1" applyBorder="1"/>
    <xf numFmtId="0" fontId="53" fillId="2" borderId="49" xfId="0" applyFont="1" applyFill="1" applyBorder="1" applyAlignment="1">
      <alignment horizontal="right"/>
    </xf>
    <xf numFmtId="0" fontId="36" fillId="13" borderId="10" xfId="0" applyFont="1" applyFill="1" applyBorder="1" applyAlignment="1">
      <alignment horizontal="left" vertical="center" wrapText="1"/>
    </xf>
    <xf numFmtId="0" fontId="35" fillId="13" borderId="10" xfId="0" applyFont="1" applyFill="1" applyBorder="1" applyAlignment="1">
      <alignment horizontal="center" vertical="center" wrapText="1"/>
    </xf>
    <xf numFmtId="43" fontId="5" fillId="13" borderId="10" xfId="8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/>
    </xf>
    <xf numFmtId="43" fontId="5" fillId="13" borderId="10" xfId="0" applyNumberFormat="1" applyFont="1" applyFill="1" applyBorder="1" applyAlignment="1">
      <alignment horizontal="center" vertical="center"/>
    </xf>
    <xf numFmtId="43" fontId="18" fillId="2" borderId="0" xfId="8" applyFont="1" applyFill="1" applyAlignment="1">
      <alignment horizontal="center"/>
    </xf>
    <xf numFmtId="43" fontId="21" fillId="0" borderId="0" xfId="0" applyNumberFormat="1" applyFont="1" applyFill="1" applyAlignment="1">
      <alignment horizontal="left"/>
    </xf>
    <xf numFmtId="0" fontId="13" fillId="3" borderId="59" xfId="0" applyFont="1" applyFill="1" applyBorder="1" applyAlignment="1">
      <alignment horizontal="left"/>
    </xf>
    <xf numFmtId="43" fontId="21" fillId="0" borderId="0" xfId="8" applyFont="1" applyFill="1" applyBorder="1" applyAlignment="1">
      <alignment vertical="center"/>
    </xf>
    <xf numFmtId="0" fontId="19" fillId="2" borderId="8" xfId="0" applyFont="1" applyFill="1" applyBorder="1" applyAlignment="1">
      <alignment horizontal="right"/>
    </xf>
    <xf numFmtId="10" fontId="1" fillId="2" borderId="0" xfId="7" applyNumberFormat="1" applyFont="1" applyFill="1"/>
    <xf numFmtId="0" fontId="25" fillId="5" borderId="3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43" fontId="1" fillId="0" borderId="32" xfId="8" applyFont="1" applyFill="1" applyBorder="1" applyAlignment="1">
      <alignment vertical="center"/>
    </xf>
    <xf numFmtId="10" fontId="1" fillId="0" borderId="33" xfId="7" applyNumberFormat="1" applyFont="1" applyFill="1" applyBorder="1" applyAlignment="1">
      <alignment vertical="center"/>
    </xf>
    <xf numFmtId="0" fontId="36" fillId="13" borderId="15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/>
    </xf>
    <xf numFmtId="44" fontId="6" fillId="0" borderId="0" xfId="0" applyNumberFormat="1" applyFont="1"/>
    <xf numFmtId="43" fontId="6" fillId="0" borderId="0" xfId="8" applyFont="1"/>
    <xf numFmtId="0" fontId="1" fillId="0" borderId="0" xfId="0" applyFont="1" applyFill="1" applyBorder="1" applyAlignment="1">
      <alignment horizontal="left"/>
    </xf>
    <xf numFmtId="10" fontId="5" fillId="13" borderId="13" xfId="7" applyNumberFormat="1" applyFont="1" applyFill="1" applyBorder="1" applyAlignment="1">
      <alignment horizontal="center" vertical="center"/>
    </xf>
    <xf numFmtId="10" fontId="39" fillId="0" borderId="48" xfId="0" applyNumberFormat="1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/>
    </xf>
    <xf numFmtId="43" fontId="1" fillId="2" borderId="0" xfId="0" applyNumberFormat="1" applyFont="1" applyFill="1" applyAlignment="1">
      <alignment horizontal="center"/>
    </xf>
    <xf numFmtId="44" fontId="6" fillId="0" borderId="0" xfId="0" applyNumberFormat="1" applyFont="1" applyBorder="1" applyAlignment="1">
      <alignment horizontal="left"/>
    </xf>
    <xf numFmtId="9" fontId="18" fillId="2" borderId="0" xfId="7" applyFont="1" applyFill="1" applyBorder="1"/>
    <xf numFmtId="43" fontId="6" fillId="0" borderId="0" xfId="8" applyNumberFormat="1" applyFont="1"/>
    <xf numFmtId="43" fontId="6" fillId="0" borderId="0" xfId="8" applyFont="1" applyBorder="1"/>
    <xf numFmtId="0" fontId="1" fillId="2" borderId="8" xfId="0" applyFont="1" applyFill="1" applyBorder="1" applyAlignment="1">
      <alignment horizontal="center" vertical="center"/>
    </xf>
    <xf numFmtId="43" fontId="6" fillId="2" borderId="0" xfId="0" applyNumberFormat="1" applyFont="1" applyFill="1" applyAlignment="1"/>
    <xf numFmtId="43" fontId="21" fillId="0" borderId="0" xfId="0" applyNumberFormat="1" applyFont="1" applyFill="1"/>
    <xf numFmtId="43" fontId="28" fillId="2" borderId="0" xfId="8" applyFont="1" applyFill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39" fillId="10" borderId="50" xfId="0" applyFont="1" applyFill="1" applyBorder="1" applyAlignment="1"/>
    <xf numFmtId="0" fontId="39" fillId="10" borderId="51" xfId="0" applyFont="1" applyFill="1" applyBorder="1" applyAlignment="1"/>
    <xf numFmtId="0" fontId="9" fillId="10" borderId="49" xfId="0" applyFont="1" applyFill="1" applyBorder="1" applyAlignment="1">
      <alignment horizontal="right"/>
    </xf>
    <xf numFmtId="10" fontId="9" fillId="10" borderId="51" xfId="0" applyNumberFormat="1" applyFont="1" applyFill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47" xfId="0" applyFont="1" applyBorder="1"/>
    <xf numFmtId="0" fontId="6" fillId="0" borderId="59" xfId="0" applyFont="1" applyBorder="1"/>
    <xf numFmtId="0" fontId="6" fillId="0" borderId="48" xfId="0" applyFont="1" applyBorder="1"/>
    <xf numFmtId="0" fontId="3" fillId="3" borderId="59" xfId="0" applyFont="1" applyFill="1" applyBorder="1" applyAlignment="1">
      <alignment horizontal="right"/>
    </xf>
    <xf numFmtId="0" fontId="6" fillId="2" borderId="59" xfId="0" applyFont="1" applyFill="1" applyBorder="1"/>
    <xf numFmtId="43" fontId="21" fillId="0" borderId="0" xfId="8" applyFont="1" applyFill="1"/>
    <xf numFmtId="10" fontId="6" fillId="0" borderId="0" xfId="12" applyNumberFormat="1" applyFont="1"/>
    <xf numFmtId="43" fontId="6" fillId="0" borderId="0" xfId="11" applyFont="1"/>
    <xf numFmtId="4" fontId="12" fillId="3" borderId="10" xfId="0" applyNumberFormat="1" applyFont="1" applyFill="1" applyBorder="1" applyAlignment="1">
      <alignment vertical="center"/>
    </xf>
    <xf numFmtId="4" fontId="37" fillId="0" borderId="10" xfId="0" applyNumberFormat="1" applyFont="1" applyFill="1" applyBorder="1" applyAlignment="1">
      <alignment vertical="center"/>
    </xf>
    <xf numFmtId="0" fontId="28" fillId="2" borderId="0" xfId="0" applyFont="1" applyFill="1" applyBorder="1"/>
    <xf numFmtId="4" fontId="28" fillId="2" borderId="0" xfId="0" applyNumberFormat="1" applyFont="1" applyFill="1" applyBorder="1"/>
    <xf numFmtId="0" fontId="28" fillId="2" borderId="3" xfId="0" applyFont="1" applyFill="1" applyBorder="1"/>
    <xf numFmtId="10" fontId="3" fillId="3" borderId="12" xfId="12" applyNumberFormat="1" applyFont="1" applyFill="1" applyBorder="1" applyAlignment="1">
      <alignment horizontal="center"/>
    </xf>
    <xf numFmtId="10" fontId="2" fillId="2" borderId="1" xfId="12" applyNumberFormat="1" applyFont="1" applyFill="1" applyBorder="1" applyAlignment="1">
      <alignment horizontal="center"/>
    </xf>
    <xf numFmtId="10" fontId="2" fillId="2" borderId="18" xfId="12" applyNumberFormat="1" applyFont="1" applyFill="1" applyBorder="1" applyAlignment="1">
      <alignment horizontal="center"/>
    </xf>
    <xf numFmtId="43" fontId="13" fillId="0" borderId="10" xfId="0" applyNumberFormat="1" applyFont="1" applyFill="1" applyBorder="1" applyAlignment="1">
      <alignment horizontal="center" vertical="center"/>
    </xf>
    <xf numFmtId="43" fontId="48" fillId="0" borderId="0" xfId="8" applyFont="1" applyFill="1" applyBorder="1" applyAlignment="1">
      <alignment horizontal="right"/>
    </xf>
    <xf numFmtId="43" fontId="6" fillId="0" borderId="0" xfId="0" applyNumberFormat="1" applyFont="1" applyBorder="1"/>
    <xf numFmtId="0" fontId="49" fillId="3" borderId="0" xfId="0" applyFont="1" applyFill="1" applyBorder="1" applyAlignment="1">
      <alignment horizontal="right"/>
    </xf>
    <xf numFmtId="0" fontId="49" fillId="3" borderId="47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36" fillId="13" borderId="0" xfId="0" applyFont="1" applyFill="1" applyBorder="1" applyAlignment="1">
      <alignment horizontal="center" vertical="center" wrapText="1"/>
    </xf>
    <xf numFmtId="0" fontId="25" fillId="5" borderId="73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8" fillId="45" borderId="0" xfId="0" applyFont="1" applyFill="1" applyBorder="1"/>
    <xf numFmtId="0" fontId="20" fillId="45" borderId="0" xfId="0" applyFont="1" applyFill="1" applyBorder="1"/>
    <xf numFmtId="0" fontId="18" fillId="3" borderId="3" xfId="0" applyFont="1" applyFill="1" applyBorder="1" applyAlignment="1"/>
    <xf numFmtId="43" fontId="21" fillId="46" borderId="10" xfId="8" applyFont="1" applyFill="1" applyBorder="1" applyAlignment="1">
      <alignment horizontal="center" vertical="center"/>
    </xf>
    <xf numFmtId="43" fontId="21" fillId="46" borderId="32" xfId="8" applyFont="1" applyFill="1" applyBorder="1" applyAlignment="1">
      <alignment horizontal="center" vertical="center"/>
    </xf>
    <xf numFmtId="0" fontId="36" fillId="13" borderId="6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3" fontId="18" fillId="3" borderId="10" xfId="8" applyFont="1" applyFill="1" applyBorder="1" applyAlignment="1">
      <alignment horizontal="center" vertical="center"/>
    </xf>
    <xf numFmtId="43" fontId="25" fillId="5" borderId="10" xfId="8" applyFont="1" applyFill="1" applyBorder="1" applyAlignment="1">
      <alignment horizontal="center" vertical="center"/>
    </xf>
    <xf numFmtId="43" fontId="28" fillId="2" borderId="0" xfId="8" applyFont="1" applyFill="1" applyBorder="1"/>
    <xf numFmtId="43" fontId="1" fillId="2" borderId="0" xfId="8" applyFont="1" applyFill="1" applyBorder="1"/>
    <xf numFmtId="43" fontId="1" fillId="2" borderId="47" xfId="8" applyFont="1" applyFill="1" applyBorder="1"/>
    <xf numFmtId="43" fontId="1" fillId="0" borderId="77" xfId="8" applyFont="1" applyFill="1" applyBorder="1" applyAlignment="1">
      <alignment vertical="center"/>
    </xf>
    <xf numFmtId="43" fontId="1" fillId="0" borderId="78" xfId="8" applyFont="1" applyFill="1" applyBorder="1" applyAlignment="1">
      <alignment vertical="center"/>
    </xf>
    <xf numFmtId="10" fontId="1" fillId="0" borderId="77" xfId="8" applyNumberFormat="1" applyFont="1" applyFill="1" applyBorder="1" applyAlignment="1">
      <alignment vertical="center"/>
    </xf>
    <xf numFmtId="43" fontId="13" fillId="0" borderId="10" xfId="0" applyNumberFormat="1" applyFont="1" applyFill="1" applyBorder="1" applyAlignment="1">
      <alignment horizontal="center"/>
    </xf>
    <xf numFmtId="10" fontId="1" fillId="0" borderId="78" xfId="8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6" xfId="3" applyNumberFormat="1" applyFont="1" applyFill="1" applyBorder="1" applyAlignment="1">
      <alignment horizontal="center"/>
    </xf>
    <xf numFmtId="168" fontId="6" fillId="0" borderId="6" xfId="0" applyNumberFormat="1" applyFont="1" applyFill="1" applyBorder="1" applyAlignment="1">
      <alignment horizontal="center"/>
    </xf>
    <xf numFmtId="0" fontId="30" fillId="2" borderId="43" xfId="5" applyFill="1" applyBorder="1"/>
    <xf numFmtId="0" fontId="30" fillId="2" borderId="44" xfId="5" applyFill="1" applyBorder="1"/>
    <xf numFmtId="0" fontId="30" fillId="2" borderId="45" xfId="5" applyFill="1" applyBorder="1"/>
    <xf numFmtId="0" fontId="30" fillId="2" borderId="0" xfId="5" applyFill="1"/>
    <xf numFmtId="0" fontId="30" fillId="0" borderId="8" xfId="5" applyBorder="1"/>
    <xf numFmtId="0" fontId="30" fillId="0" borderId="59" xfId="5" applyBorder="1"/>
    <xf numFmtId="0" fontId="30" fillId="0" borderId="0" xfId="5"/>
    <xf numFmtId="0" fontId="72" fillId="0" borderId="0" xfId="5" applyFont="1"/>
    <xf numFmtId="0" fontId="73" fillId="3" borderId="79" xfId="5" applyFont="1" applyFill="1" applyBorder="1" applyAlignment="1">
      <alignment horizontal="center" vertical="center"/>
    </xf>
    <xf numFmtId="171" fontId="73" fillId="0" borderId="82" xfId="54" applyNumberFormat="1" applyFont="1" applyBorder="1" applyAlignment="1">
      <alignment horizontal="center"/>
    </xf>
    <xf numFmtId="0" fontId="73" fillId="0" borderId="6" xfId="5" applyFont="1" applyBorder="1"/>
    <xf numFmtId="10" fontId="73" fillId="0" borderId="83" xfId="55" applyNumberFormat="1" applyFont="1" applyBorder="1" applyAlignment="1">
      <alignment horizontal="center"/>
    </xf>
    <xf numFmtId="10" fontId="30" fillId="2" borderId="0" xfId="5" applyNumberFormat="1" applyFill="1"/>
    <xf numFmtId="10" fontId="30" fillId="2" borderId="0" xfId="55" applyNumberFormat="1" applyFill="1"/>
    <xf numFmtId="171" fontId="30" fillId="0" borderId="82" xfId="54" applyNumberFormat="1" applyFont="1" applyBorder="1" applyAlignment="1">
      <alignment horizontal="center"/>
    </xf>
    <xf numFmtId="0" fontId="30" fillId="0" borderId="6" xfId="5" applyBorder="1"/>
    <xf numFmtId="10" fontId="30" fillId="0" borderId="83" xfId="55" applyNumberFormat="1" applyFont="1" applyBorder="1" applyAlignment="1">
      <alignment horizontal="center"/>
    </xf>
    <xf numFmtId="171" fontId="73" fillId="0" borderId="84" xfId="54" applyNumberFormat="1" applyFont="1" applyBorder="1" applyAlignment="1">
      <alignment horizontal="center"/>
    </xf>
    <xf numFmtId="0" fontId="73" fillId="0" borderId="5" xfId="5" applyFont="1" applyBorder="1"/>
    <xf numFmtId="10" fontId="73" fillId="0" borderId="85" xfId="55" applyNumberFormat="1" applyFont="1" applyBorder="1" applyAlignment="1">
      <alignment horizontal="center"/>
    </xf>
    <xf numFmtId="10" fontId="30" fillId="0" borderId="83" xfId="55" applyNumberFormat="1" applyFont="1" applyFill="1" applyBorder="1" applyAlignment="1">
      <alignment horizontal="center"/>
    </xf>
    <xf numFmtId="0" fontId="72" fillId="2" borderId="0" xfId="5" applyFont="1" applyFill="1"/>
    <xf numFmtId="0" fontId="30" fillId="8" borderId="0" xfId="5" applyFill="1"/>
    <xf numFmtId="0" fontId="72" fillId="47" borderId="0" xfId="5" applyFont="1" applyFill="1"/>
    <xf numFmtId="172" fontId="72" fillId="2" borderId="0" xfId="55" applyNumberFormat="1" applyFont="1" applyFill="1" applyAlignment="1">
      <alignment horizontal="left"/>
    </xf>
    <xf numFmtId="0" fontId="30" fillId="0" borderId="5" xfId="5" applyBorder="1"/>
    <xf numFmtId="10" fontId="30" fillId="0" borderId="85" xfId="55" applyNumberFormat="1" applyFont="1" applyBorder="1" applyAlignment="1">
      <alignment horizontal="center"/>
    </xf>
    <xf numFmtId="171" fontId="73" fillId="3" borderId="86" xfId="54" applyNumberFormat="1" applyFont="1" applyFill="1" applyBorder="1" applyAlignment="1">
      <alignment horizontal="center"/>
    </xf>
    <xf numFmtId="0" fontId="73" fillId="3" borderId="87" xfId="5" applyFont="1" applyFill="1" applyBorder="1"/>
    <xf numFmtId="10" fontId="73" fillId="3" borderId="87" xfId="55" applyNumberFormat="1" applyFont="1" applyFill="1" applyBorder="1" applyAlignment="1">
      <alignment horizontal="center"/>
    </xf>
    <xf numFmtId="173" fontId="30" fillId="2" borderId="0" xfId="5" applyNumberFormat="1" applyFill="1"/>
    <xf numFmtId="171" fontId="73" fillId="0" borderId="0" xfId="54" applyNumberFormat="1" applyFont="1" applyFill="1" applyBorder="1" applyAlignment="1">
      <alignment horizontal="center"/>
    </xf>
    <xf numFmtId="10" fontId="73" fillId="0" borderId="0" xfId="55" applyNumberFormat="1" applyFont="1" applyFill="1" applyBorder="1" applyAlignment="1">
      <alignment horizontal="center"/>
    </xf>
    <xf numFmtId="0" fontId="30" fillId="0" borderId="43" xfId="5" applyBorder="1"/>
    <xf numFmtId="0" fontId="30" fillId="2" borderId="3" xfId="5" applyFill="1" applyBorder="1"/>
    <xf numFmtId="0" fontId="30" fillId="0" borderId="3" xfId="5" applyBorder="1"/>
    <xf numFmtId="0" fontId="30" fillId="0" borderId="47" xfId="5" applyBorder="1"/>
    <xf numFmtId="0" fontId="30" fillId="0" borderId="48" xfId="5" applyBorder="1"/>
    <xf numFmtId="0" fontId="73" fillId="3" borderId="88" xfId="5" applyFont="1" applyFill="1" applyBorder="1" applyAlignment="1">
      <alignment horizontal="center" vertical="center"/>
    </xf>
    <xf numFmtId="0" fontId="73" fillId="3" borderId="89" xfId="5" applyFont="1" applyFill="1" applyBorder="1" applyAlignment="1">
      <alignment horizontal="left" vertical="center"/>
    </xf>
    <xf numFmtId="0" fontId="75" fillId="3" borderId="88" xfId="5" applyFont="1" applyFill="1" applyBorder="1" applyAlignment="1">
      <alignment horizontal="center" vertical="center" wrapText="1"/>
    </xf>
    <xf numFmtId="0" fontId="75" fillId="3" borderId="90" xfId="5" applyFont="1" applyFill="1" applyBorder="1" applyAlignment="1">
      <alignment horizontal="center" vertical="center" wrapText="1"/>
    </xf>
    <xf numFmtId="171" fontId="73" fillId="3" borderId="91" xfId="54" applyNumberFormat="1" applyFont="1" applyFill="1" applyBorder="1" applyAlignment="1">
      <alignment horizontal="center"/>
    </xf>
    <xf numFmtId="0" fontId="73" fillId="3" borderId="92" xfId="5" applyFont="1" applyFill="1" applyBorder="1"/>
    <xf numFmtId="10" fontId="30" fillId="11" borderId="91" xfId="55" applyNumberFormat="1" applyFill="1" applyBorder="1" applyAlignment="1">
      <alignment horizontal="center"/>
    </xf>
    <xf numFmtId="10" fontId="30" fillId="11" borderId="93" xfId="55" applyNumberFormat="1" applyFill="1" applyBorder="1" applyAlignment="1">
      <alignment horizontal="center"/>
    </xf>
    <xf numFmtId="171" fontId="73" fillId="0" borderId="94" xfId="54" applyNumberFormat="1" applyFont="1" applyBorder="1" applyAlignment="1">
      <alignment horizontal="center"/>
    </xf>
    <xf numFmtId="0" fontId="73" fillId="0" borderId="95" xfId="5" applyFont="1" applyBorder="1"/>
    <xf numFmtId="10" fontId="73" fillId="0" borderId="94" xfId="55" applyNumberFormat="1" applyFont="1" applyFill="1" applyBorder="1" applyAlignment="1">
      <alignment horizontal="center"/>
    </xf>
    <xf numFmtId="10" fontId="73" fillId="0" borderId="96" xfId="55" applyNumberFormat="1" applyFont="1" applyFill="1" applyBorder="1" applyAlignment="1">
      <alignment horizontal="center"/>
    </xf>
    <xf numFmtId="171" fontId="30" fillId="0" borderId="94" xfId="54" applyNumberFormat="1" applyFont="1" applyBorder="1" applyAlignment="1">
      <alignment horizontal="center"/>
    </xf>
    <xf numFmtId="0" fontId="30" fillId="0" borderId="95" xfId="5" applyBorder="1"/>
    <xf numFmtId="10" fontId="30" fillId="0" borderId="94" xfId="55" applyNumberFormat="1" applyFill="1" applyBorder="1" applyAlignment="1">
      <alignment horizontal="center"/>
    </xf>
    <xf numFmtId="10" fontId="30" fillId="0" borderId="96" xfId="55" applyNumberFormat="1" applyFill="1" applyBorder="1" applyAlignment="1">
      <alignment horizontal="center"/>
    </xf>
    <xf numFmtId="171" fontId="73" fillId="48" borderId="97" xfId="54" applyNumberFormat="1" applyFont="1" applyFill="1" applyBorder="1" applyAlignment="1">
      <alignment horizontal="center"/>
    </xf>
    <xf numFmtId="0" fontId="73" fillId="48" borderId="98" xfId="5" applyFont="1" applyFill="1" applyBorder="1"/>
    <xf numFmtId="10" fontId="73" fillId="48" borderId="97" xfId="55" applyNumberFormat="1" applyFont="1" applyFill="1" applyBorder="1" applyAlignment="1">
      <alignment horizontal="center"/>
    </xf>
    <xf numFmtId="10" fontId="73" fillId="48" borderId="99" xfId="55" applyNumberFormat="1" applyFont="1" applyFill="1" applyBorder="1" applyAlignment="1">
      <alignment horizontal="center"/>
    </xf>
    <xf numFmtId="10" fontId="30" fillId="0" borderId="96" xfId="55" applyNumberFormat="1" applyFont="1" applyFill="1" applyBorder="1" applyAlignment="1">
      <alignment horizontal="center"/>
    </xf>
    <xf numFmtId="10" fontId="73" fillId="0" borderId="94" xfId="55" applyNumberFormat="1" applyFont="1" applyBorder="1" applyAlignment="1">
      <alignment horizontal="center"/>
    </xf>
    <xf numFmtId="10" fontId="73" fillId="0" borderId="96" xfId="55" applyNumberFormat="1" applyFont="1" applyBorder="1" applyAlignment="1">
      <alignment horizontal="center"/>
    </xf>
    <xf numFmtId="0" fontId="30" fillId="0" borderId="95" xfId="5" applyBorder="1" applyAlignment="1">
      <alignment wrapText="1"/>
    </xf>
    <xf numFmtId="10" fontId="30" fillId="0" borderId="94" xfId="55" applyNumberFormat="1" applyBorder="1" applyAlignment="1">
      <alignment horizontal="center"/>
    </xf>
    <xf numFmtId="10" fontId="30" fillId="0" borderId="96" xfId="55" applyNumberFormat="1" applyBorder="1" applyAlignment="1">
      <alignment horizontal="center"/>
    </xf>
    <xf numFmtId="171" fontId="73" fillId="48" borderId="94" xfId="54" applyNumberFormat="1" applyFont="1" applyFill="1" applyBorder="1" applyAlignment="1">
      <alignment horizontal="center"/>
    </xf>
    <xf numFmtId="0" fontId="73" fillId="48" borderId="95" xfId="5" applyFont="1" applyFill="1" applyBorder="1"/>
    <xf numFmtId="10" fontId="73" fillId="48" borderId="94" xfId="55" applyNumberFormat="1" applyFont="1" applyFill="1" applyBorder="1" applyAlignment="1">
      <alignment horizontal="center"/>
    </xf>
    <xf numFmtId="10" fontId="73" fillId="48" borderId="96" xfId="55" applyNumberFormat="1" applyFont="1" applyFill="1" applyBorder="1" applyAlignment="1">
      <alignment horizontal="center"/>
    </xf>
    <xf numFmtId="0" fontId="73" fillId="3" borderId="100" xfId="5" applyFont="1" applyFill="1" applyBorder="1"/>
    <xf numFmtId="10" fontId="73" fillId="3" borderId="86" xfId="55" applyNumberFormat="1" applyFont="1" applyFill="1" applyBorder="1" applyAlignment="1">
      <alignment horizontal="center"/>
    </xf>
    <xf numFmtId="0" fontId="30" fillId="2" borderId="0" xfId="5" applyFill="1" applyAlignment="1">
      <alignment horizontal="center"/>
    </xf>
    <xf numFmtId="174" fontId="30" fillId="2" borderId="0" xfId="5" applyNumberFormat="1" applyFill="1"/>
    <xf numFmtId="43" fontId="2" fillId="2" borderId="58" xfId="8" applyFont="1" applyFill="1" applyBorder="1" applyAlignment="1">
      <alignment horizontal="center"/>
    </xf>
    <xf numFmtId="0" fontId="32" fillId="2" borderId="101" xfId="0" applyFont="1" applyFill="1" applyBorder="1" applyAlignment="1">
      <alignment horizontal="left" vertical="center" indent="1"/>
    </xf>
    <xf numFmtId="10" fontId="2" fillId="2" borderId="58" xfId="12" applyNumberFormat="1" applyFont="1" applyFill="1" applyBorder="1" applyAlignment="1">
      <alignment horizontal="center"/>
    </xf>
    <xf numFmtId="10" fontId="2" fillId="2" borderId="58" xfId="7" applyNumberFormat="1" applyFont="1" applyFill="1" applyBorder="1" applyAlignment="1">
      <alignment horizontal="center"/>
    </xf>
    <xf numFmtId="0" fontId="51" fillId="3" borderId="12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horizontal="left" vertical="center" wrapText="1"/>
    </xf>
    <xf numFmtId="0" fontId="17" fillId="45" borderId="44" xfId="0" applyFont="1" applyFill="1" applyBorder="1" applyAlignment="1"/>
    <xf numFmtId="0" fontId="1" fillId="2" borderId="47" xfId="0" applyFont="1" applyFill="1" applyBorder="1" applyAlignment="1">
      <alignment horizontal="right"/>
    </xf>
    <xf numFmtId="14" fontId="22" fillId="2" borderId="47" xfId="0" applyNumberFormat="1" applyFont="1" applyFill="1" applyBorder="1" applyAlignment="1">
      <alignment horizontal="left"/>
    </xf>
    <xf numFmtId="0" fontId="19" fillId="2" borderId="59" xfId="0" applyFont="1" applyFill="1" applyBorder="1" applyAlignment="1">
      <alignment horizontal="right"/>
    </xf>
    <xf numFmtId="0" fontId="19" fillId="2" borderId="47" xfId="0" applyFont="1" applyFill="1" applyBorder="1" applyAlignment="1">
      <alignment horizontal="right"/>
    </xf>
    <xf numFmtId="0" fontId="21" fillId="2" borderId="48" xfId="0" applyFont="1" applyFill="1" applyBorder="1"/>
    <xf numFmtId="0" fontId="21" fillId="2" borderId="47" xfId="0" applyFont="1" applyFill="1" applyBorder="1" applyAlignment="1">
      <alignment horizontal="right"/>
    </xf>
    <xf numFmtId="10" fontId="21" fillId="2" borderId="47" xfId="0" applyNumberFormat="1" applyFont="1" applyFill="1" applyBorder="1" applyAlignment="1">
      <alignment horizontal="left"/>
    </xf>
    <xf numFmtId="0" fontId="1" fillId="2" borderId="47" xfId="0" applyFont="1" applyFill="1" applyBorder="1" applyAlignment="1">
      <alignment horizontal="left"/>
    </xf>
    <xf numFmtId="0" fontId="21" fillId="45" borderId="47" xfId="0" applyFont="1" applyFill="1" applyBorder="1" applyAlignment="1">
      <alignment horizontal="right"/>
    </xf>
    <xf numFmtId="10" fontId="22" fillId="2" borderId="47" xfId="0" applyNumberFormat="1" applyFont="1" applyFill="1" applyBorder="1" applyAlignment="1">
      <alignment horizontal="left"/>
    </xf>
    <xf numFmtId="0" fontId="22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left"/>
    </xf>
    <xf numFmtId="43" fontId="13" fillId="0" borderId="15" xfId="0" applyNumberFormat="1" applyFont="1" applyFill="1" applyBorder="1"/>
    <xf numFmtId="43" fontId="21" fillId="46" borderId="104" xfId="8" applyFont="1" applyFill="1" applyBorder="1" applyAlignment="1">
      <alignment horizontal="center" vertical="center"/>
    </xf>
    <xf numFmtId="0" fontId="12" fillId="3" borderId="102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>
      <alignment vertical="center"/>
    </xf>
    <xf numFmtId="4" fontId="12" fillId="3" borderId="32" xfId="0" applyNumberFormat="1" applyFont="1" applyFill="1" applyBorder="1" applyAlignment="1">
      <alignment vertical="center"/>
    </xf>
    <xf numFmtId="17" fontId="12" fillId="0" borderId="32" xfId="0" applyNumberFormat="1" applyFont="1" applyFill="1" applyBorder="1" applyAlignment="1"/>
    <xf numFmtId="0" fontId="12" fillId="0" borderId="33" xfId="0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vertical="center"/>
    </xf>
    <xf numFmtId="43" fontId="13" fillId="0" borderId="15" xfId="0" applyNumberFormat="1" applyFont="1" applyFill="1" applyBorder="1" applyAlignment="1">
      <alignment vertical="center"/>
    </xf>
    <xf numFmtId="43" fontId="21" fillId="0" borderId="15" xfId="8" applyFont="1" applyFill="1" applyBorder="1" applyAlignment="1">
      <alignment horizontal="center" vertical="center"/>
    </xf>
    <xf numFmtId="43" fontId="21" fillId="0" borderId="60" xfId="8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3" fontId="21" fillId="0" borderId="10" xfId="8" applyFont="1" applyFill="1" applyBorder="1" applyAlignment="1">
      <alignment horizontal="center" vertical="center"/>
    </xf>
    <xf numFmtId="43" fontId="21" fillId="0" borderId="6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3" fontId="21" fillId="0" borderId="103" xfId="8" applyFont="1" applyFill="1" applyBorder="1" applyAlignment="1">
      <alignment horizontal="center" vertical="center"/>
    </xf>
    <xf numFmtId="43" fontId="21" fillId="0" borderId="104" xfId="8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43" fontId="21" fillId="0" borderId="32" xfId="8" applyFont="1" applyFill="1" applyBorder="1" applyAlignment="1">
      <alignment horizontal="center" vertical="center"/>
    </xf>
    <xf numFmtId="43" fontId="21" fillId="0" borderId="10" xfId="8" applyFont="1" applyFill="1" applyBorder="1" applyAlignment="1">
      <alignment vertical="center"/>
    </xf>
    <xf numFmtId="0" fontId="12" fillId="3" borderId="10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vertical="center"/>
    </xf>
    <xf numFmtId="4" fontId="12" fillId="3" borderId="3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wrapText="1"/>
    </xf>
    <xf numFmtId="0" fontId="79" fillId="0" borderId="0" xfId="5" applyFont="1" applyFill="1"/>
    <xf numFmtId="0" fontId="13" fillId="0" borderId="10" xfId="0" applyFont="1" applyFill="1" applyBorder="1" applyAlignment="1">
      <alignment wrapText="1"/>
    </xf>
    <xf numFmtId="0" fontId="12" fillId="0" borderId="102" xfId="0" applyFont="1" applyFill="1" applyBorder="1"/>
    <xf numFmtId="2" fontId="12" fillId="0" borderId="32" xfId="0" applyNumberFormat="1" applyFont="1" applyFill="1" applyBorder="1"/>
    <xf numFmtId="43" fontId="12" fillId="0" borderId="32" xfId="8" applyFont="1" applyFill="1" applyBorder="1"/>
    <xf numFmtId="169" fontId="12" fillId="0" borderId="32" xfId="8" applyNumberFormat="1" applyFont="1" applyFill="1" applyBorder="1"/>
    <xf numFmtId="0" fontId="12" fillId="0" borderId="32" xfId="0" applyFont="1" applyFill="1" applyBorder="1" applyAlignment="1"/>
    <xf numFmtId="170" fontId="12" fillId="0" borderId="32" xfId="8" applyNumberFormat="1" applyFont="1" applyFill="1" applyBorder="1"/>
    <xf numFmtId="43" fontId="12" fillId="0" borderId="33" xfId="8" applyFont="1" applyFill="1" applyBorder="1"/>
    <xf numFmtId="0" fontId="12" fillId="3" borderId="104" xfId="0" applyFont="1" applyFill="1" applyBorder="1" applyAlignment="1">
      <alignment horizontal="center" vertical="center"/>
    </xf>
    <xf numFmtId="4" fontId="12" fillId="0" borderId="104" xfId="0" applyNumberFormat="1" applyFont="1" applyFill="1" applyBorder="1" applyAlignment="1">
      <alignment vertical="center"/>
    </xf>
    <xf numFmtId="4" fontId="12" fillId="3" borderId="104" xfId="0" applyNumberFormat="1" applyFont="1" applyFill="1" applyBorder="1" applyAlignment="1">
      <alignment vertical="center"/>
    </xf>
    <xf numFmtId="0" fontId="12" fillId="0" borderId="105" xfId="0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1" fillId="0" borderId="104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43" fontId="21" fillId="0" borderId="104" xfId="8" applyFont="1" applyFill="1" applyBorder="1" applyAlignment="1">
      <alignment vertical="center"/>
    </xf>
    <xf numFmtId="43" fontId="1" fillId="0" borderId="104" xfId="8" applyFont="1" applyFill="1" applyBorder="1" applyAlignment="1">
      <alignment vertical="center"/>
    </xf>
    <xf numFmtId="43" fontId="21" fillId="0" borderId="32" xfId="8" applyFont="1" applyFill="1" applyBorder="1" applyAlignment="1">
      <alignment vertical="center"/>
    </xf>
    <xf numFmtId="0" fontId="12" fillId="0" borderId="10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22" fillId="0" borderId="0" xfId="0" applyFont="1" applyFill="1"/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24" fillId="0" borderId="0" xfId="0" applyFont="1" applyFill="1" applyBorder="1"/>
    <xf numFmtId="10" fontId="5" fillId="0" borderId="0" xfId="7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0" fontId="1" fillId="0" borderId="0" xfId="7" applyNumberFormat="1" applyFont="1" applyFill="1" applyBorder="1" applyAlignment="1">
      <alignment vertical="center"/>
    </xf>
    <xf numFmtId="0" fontId="1" fillId="0" borderId="0" xfId="0" applyFont="1" applyFill="1"/>
    <xf numFmtId="43" fontId="1" fillId="0" borderId="0" xfId="0" applyNumberFormat="1" applyFont="1" applyFill="1"/>
    <xf numFmtId="43" fontId="27" fillId="0" borderId="0" xfId="8" applyFont="1" applyFill="1" applyBorder="1" applyAlignment="1">
      <alignment horizontal="right"/>
    </xf>
    <xf numFmtId="0" fontId="28" fillId="0" borderId="0" xfId="0" applyFont="1" applyFill="1"/>
    <xf numFmtId="0" fontId="21" fillId="0" borderId="102" xfId="0" applyFont="1" applyFill="1" applyBorder="1" applyAlignment="1">
      <alignment horizontal="center" vertical="center"/>
    </xf>
    <xf numFmtId="169" fontId="12" fillId="0" borderId="10" xfId="9" applyNumberFormat="1" applyFont="1" applyFill="1" applyBorder="1"/>
    <xf numFmtId="0" fontId="6" fillId="0" borderId="1" xfId="0" applyFont="1" applyFill="1" applyBorder="1"/>
    <xf numFmtId="0" fontId="2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vertical="center" wrapText="1"/>
    </xf>
    <xf numFmtId="0" fontId="21" fillId="0" borderId="104" xfId="0" applyFont="1" applyFill="1" applyBorder="1" applyAlignment="1">
      <alignment horizontal="center" vertical="center"/>
    </xf>
    <xf numFmtId="10" fontId="1" fillId="0" borderId="77" xfId="7" applyNumberFormat="1" applyFont="1" applyFill="1" applyBorder="1" applyAlignment="1">
      <alignment vertical="center"/>
    </xf>
    <xf numFmtId="0" fontId="21" fillId="49" borderId="15" xfId="0" applyFont="1" applyFill="1" applyBorder="1" applyAlignment="1">
      <alignment horizontal="center" vertical="center"/>
    </xf>
    <xf numFmtId="0" fontId="21" fillId="49" borderId="10" xfId="0" applyFont="1" applyFill="1" applyBorder="1" applyAlignment="1">
      <alignment vertical="center" wrapText="1"/>
    </xf>
    <xf numFmtId="43" fontId="1" fillId="49" borderId="10" xfId="8" applyFont="1" applyFill="1" applyBorder="1" applyAlignment="1">
      <alignment vertical="center"/>
    </xf>
    <xf numFmtId="43" fontId="1" fillId="49" borderId="77" xfId="8" applyFont="1" applyFill="1" applyBorder="1" applyAlignment="1">
      <alignment vertical="center"/>
    </xf>
    <xf numFmtId="10" fontId="1" fillId="49" borderId="77" xfId="7" applyNumberFormat="1" applyFont="1" applyFill="1" applyBorder="1" applyAlignment="1">
      <alignment vertical="center"/>
    </xf>
    <xf numFmtId="0" fontId="21" fillId="49" borderId="60" xfId="0" applyFont="1" applyFill="1" applyBorder="1" applyAlignment="1">
      <alignment horizontal="center" vertical="center"/>
    </xf>
    <xf numFmtId="0" fontId="21" fillId="49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vertical="center" wrapText="1"/>
    </xf>
    <xf numFmtId="43" fontId="21" fillId="50" borderId="10" xfId="8" applyFont="1" applyFill="1" applyBorder="1" applyAlignment="1">
      <alignment horizontal="center" vertical="center"/>
    </xf>
    <xf numFmtId="43" fontId="21" fillId="0" borderId="76" xfId="8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28" fillId="2" borderId="59" xfId="0" applyFont="1" applyFill="1" applyBorder="1" applyAlignment="1">
      <alignment horizontal="center"/>
    </xf>
    <xf numFmtId="0" fontId="28" fillId="2" borderId="47" xfId="0" applyFont="1" applyFill="1" applyBorder="1" applyAlignment="1">
      <alignment horizontal="center"/>
    </xf>
    <xf numFmtId="0" fontId="28" fillId="2" borderId="47" xfId="0" applyFont="1" applyFill="1" applyBorder="1"/>
    <xf numFmtId="4" fontId="28" fillId="2" borderId="47" xfId="0" applyNumberFormat="1" applyFont="1" applyFill="1" applyBorder="1"/>
    <xf numFmtId="43" fontId="28" fillId="2" borderId="47" xfId="0" applyNumberFormat="1" applyFont="1" applyFill="1" applyBorder="1"/>
    <xf numFmtId="0" fontId="28" fillId="2" borderId="48" xfId="0" applyFont="1" applyFill="1" applyBorder="1"/>
    <xf numFmtId="43" fontId="21" fillId="49" borderId="60" xfId="8" applyFont="1" applyFill="1" applyBorder="1" applyAlignment="1">
      <alignment horizontal="center" vertical="center"/>
    </xf>
    <xf numFmtId="43" fontId="21" fillId="49" borderId="10" xfId="8" applyFont="1" applyFill="1" applyBorder="1" applyAlignment="1">
      <alignment horizontal="center" vertical="center"/>
    </xf>
    <xf numFmtId="43" fontId="21" fillId="49" borderId="10" xfId="8" applyFont="1" applyFill="1" applyBorder="1" applyAlignment="1">
      <alignment vertical="center"/>
    </xf>
    <xf numFmtId="10" fontId="1" fillId="49" borderId="77" xfId="8" applyNumberFormat="1" applyFont="1" applyFill="1" applyBorder="1" applyAlignment="1">
      <alignment vertical="center"/>
    </xf>
    <xf numFmtId="10" fontId="1" fillId="49" borderId="13" xfId="7" applyNumberFormat="1" applyFont="1" applyFill="1" applyBorder="1" applyAlignment="1">
      <alignment vertical="center"/>
    </xf>
    <xf numFmtId="0" fontId="14" fillId="5" borderId="19" xfId="0" applyFont="1" applyFill="1" applyBorder="1" applyAlignment="1">
      <alignment horizontal="center"/>
    </xf>
    <xf numFmtId="0" fontId="15" fillId="13" borderId="49" xfId="0" applyFont="1" applyFill="1" applyBorder="1" applyAlignment="1">
      <alignment horizontal="center"/>
    </xf>
    <xf numFmtId="0" fontId="15" fillId="13" borderId="50" xfId="0" applyFont="1" applyFill="1" applyBorder="1" applyAlignment="1">
      <alignment horizontal="center"/>
    </xf>
    <xf numFmtId="0" fontId="15" fillId="13" borderId="51" xfId="0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/>
    </xf>
    <xf numFmtId="0" fontId="9" fillId="10" borderId="5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0" fillId="12" borderId="43" xfId="0" applyFont="1" applyFill="1" applyBorder="1" applyAlignment="1">
      <alignment horizontal="center"/>
    </xf>
    <xf numFmtId="0" fontId="10" fillId="12" borderId="44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6" fillId="3" borderId="43" xfId="0" applyFont="1" applyFill="1" applyBorder="1" applyAlignment="1">
      <alignment horizontal="center"/>
    </xf>
    <xf numFmtId="0" fontId="16" fillId="3" borderId="44" xfId="0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/>
    </xf>
    <xf numFmtId="0" fontId="10" fillId="13" borderId="23" xfId="0" applyFont="1" applyFill="1" applyBorder="1" applyAlignment="1">
      <alignment horizontal="center"/>
    </xf>
    <xf numFmtId="0" fontId="10" fillId="13" borderId="24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14" fontId="2" fillId="0" borderId="50" xfId="0" applyNumberFormat="1" applyFont="1" applyFill="1" applyBorder="1" applyAlignment="1">
      <alignment horizontal="left"/>
    </xf>
    <xf numFmtId="14" fontId="2" fillId="0" borderId="51" xfId="0" applyNumberFormat="1" applyFont="1" applyFill="1" applyBorder="1" applyAlignment="1">
      <alignment horizontal="left"/>
    </xf>
    <xf numFmtId="10" fontId="6" fillId="2" borderId="50" xfId="0" applyNumberFormat="1" applyFont="1" applyFill="1" applyBorder="1" applyAlignment="1">
      <alignment horizontal="left"/>
    </xf>
    <xf numFmtId="0" fontId="6" fillId="2" borderId="51" xfId="0" applyFont="1" applyFill="1" applyBorder="1" applyAlignment="1">
      <alignment horizontal="left"/>
    </xf>
    <xf numFmtId="0" fontId="73" fillId="0" borderId="0" xfId="5" applyFont="1"/>
    <xf numFmtId="0" fontId="73" fillId="0" borderId="3" xfId="5" applyFont="1" applyBorder="1"/>
    <xf numFmtId="0" fontId="71" fillId="0" borderId="0" xfId="5" applyFont="1"/>
    <xf numFmtId="0" fontId="71" fillId="0" borderId="3" xfId="5" applyFont="1" applyBorder="1"/>
    <xf numFmtId="0" fontId="30" fillId="0" borderId="47" xfId="5" applyBorder="1"/>
    <xf numFmtId="0" fontId="30" fillId="0" borderId="48" xfId="5" applyBorder="1"/>
    <xf numFmtId="0" fontId="73" fillId="3" borderId="80" xfId="5" applyFont="1" applyFill="1" applyBorder="1" applyAlignment="1">
      <alignment horizontal="center" vertical="center"/>
    </xf>
    <xf numFmtId="0" fontId="73" fillId="3" borderId="81" xfId="5" applyFont="1" applyFill="1" applyBorder="1" applyAlignment="1">
      <alignment horizontal="center" vertical="center"/>
    </xf>
    <xf numFmtId="0" fontId="30" fillId="2" borderId="0" xfId="5" applyFill="1" applyAlignment="1">
      <alignment horizontal="left" wrapText="1"/>
    </xf>
    <xf numFmtId="0" fontId="73" fillId="0" borderId="44" xfId="5" applyFont="1" applyBorder="1"/>
    <xf numFmtId="0" fontId="30" fillId="0" borderId="0" xfId="5"/>
    <xf numFmtId="0" fontId="10" fillId="13" borderId="49" xfId="0" applyFont="1" applyFill="1" applyBorder="1" applyAlignment="1">
      <alignment horizontal="center"/>
    </xf>
    <xf numFmtId="0" fontId="10" fillId="13" borderId="50" xfId="0" applyFont="1" applyFill="1" applyBorder="1" applyAlignment="1">
      <alignment horizontal="center"/>
    </xf>
    <xf numFmtId="0" fontId="10" fillId="13" borderId="51" xfId="0" applyFont="1" applyFill="1" applyBorder="1" applyAlignment="1">
      <alignment horizontal="center"/>
    </xf>
    <xf numFmtId="4" fontId="5" fillId="4" borderId="42" xfId="0" applyNumberFormat="1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/>
    </xf>
    <xf numFmtId="0" fontId="17" fillId="3" borderId="44" xfId="0" applyFont="1" applyFill="1" applyBorder="1" applyAlignment="1">
      <alignment horizontal="center"/>
    </xf>
    <xf numFmtId="0" fontId="17" fillId="3" borderId="4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top" wrapText="1"/>
    </xf>
    <xf numFmtId="0" fontId="23" fillId="4" borderId="53" xfId="0" applyFont="1" applyFill="1" applyBorder="1" applyAlignment="1">
      <alignment horizontal="center" vertical="top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center" vertical="center" wrapText="1"/>
    </xf>
    <xf numFmtId="4" fontId="5" fillId="4" borderId="7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4" fontId="5" fillId="4" borderId="75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shrinkToFit="1"/>
    </xf>
    <xf numFmtId="0" fontId="7" fillId="4" borderId="30" xfId="0" applyFont="1" applyFill="1" applyBorder="1" applyAlignment="1">
      <alignment horizontal="center" shrinkToFit="1"/>
    </xf>
    <xf numFmtId="0" fontId="7" fillId="4" borderId="29" xfId="0" applyFont="1" applyFill="1" applyBorder="1" applyAlignment="1">
      <alignment horizontal="center" shrinkToFit="1"/>
    </xf>
    <xf numFmtId="0" fontId="7" fillId="4" borderId="31" xfId="0" applyFont="1" applyFill="1" applyBorder="1" applyAlignment="1">
      <alignment horizontal="center" shrinkToFit="1"/>
    </xf>
    <xf numFmtId="4" fontId="7" fillId="4" borderId="9" xfId="0" applyNumberFormat="1" applyFont="1" applyFill="1" applyBorder="1" applyAlignment="1">
      <alignment horizontal="center" vertical="center" shrinkToFit="1"/>
    </xf>
    <xf numFmtId="4" fontId="7" fillId="4" borderId="41" xfId="0" applyNumberFormat="1" applyFont="1" applyFill="1" applyBorder="1" applyAlignment="1">
      <alignment horizontal="center" vertical="center" shrinkToFit="1"/>
    </xf>
    <xf numFmtId="0" fontId="10" fillId="13" borderId="61" xfId="0" applyFont="1" applyFill="1" applyBorder="1" applyAlignment="1">
      <alignment horizontal="center"/>
    </xf>
    <xf numFmtId="0" fontId="10" fillId="13" borderId="62" xfId="0" applyFont="1" applyFill="1" applyBorder="1" applyAlignment="1">
      <alignment horizontal="center"/>
    </xf>
    <xf numFmtId="0" fontId="10" fillId="13" borderId="63" xfId="0" applyFont="1" applyFill="1" applyBorder="1" applyAlignment="1">
      <alignment horizontal="center"/>
    </xf>
    <xf numFmtId="4" fontId="5" fillId="4" borderId="106" xfId="0" applyNumberFormat="1" applyFont="1" applyFill="1" applyBorder="1" applyAlignment="1">
      <alignment horizontal="center" vertical="center" wrapText="1"/>
    </xf>
    <xf numFmtId="4" fontId="5" fillId="4" borderId="41" xfId="0" applyNumberFormat="1" applyFont="1" applyFill="1" applyBorder="1" applyAlignment="1">
      <alignment horizontal="center" vertical="center" wrapText="1"/>
    </xf>
    <xf numFmtId="4" fontId="5" fillId="4" borderId="107" xfId="0" applyNumberFormat="1" applyFont="1" applyFill="1" applyBorder="1" applyAlignment="1">
      <alignment horizontal="center" vertical="center" wrapText="1"/>
    </xf>
    <xf numFmtId="4" fontId="5" fillId="4" borderId="108" xfId="0" applyNumberFormat="1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top" wrapText="1"/>
    </xf>
    <xf numFmtId="0" fontId="23" fillId="4" borderId="56" xfId="0" applyFont="1" applyFill="1" applyBorder="1" applyAlignment="1">
      <alignment horizontal="center" vertical="top" wrapText="1"/>
    </xf>
    <xf numFmtId="43" fontId="21" fillId="46" borderId="10" xfId="9" applyFont="1" applyFill="1" applyBorder="1" applyAlignment="1">
      <alignment horizontal="center" vertical="center"/>
    </xf>
    <xf numFmtId="43" fontId="21" fillId="50" borderId="10" xfId="9" applyFont="1" applyFill="1" applyBorder="1" applyAlignment="1">
      <alignment horizontal="center" vertical="center"/>
    </xf>
    <xf numFmtId="43" fontId="1" fillId="3" borderId="10" xfId="9" applyFont="1" applyFill="1" applyBorder="1" applyAlignment="1">
      <alignment horizontal="center" vertical="center"/>
    </xf>
    <xf numFmtId="43" fontId="25" fillId="5" borderId="10" xfId="9" applyFont="1" applyFill="1" applyBorder="1" applyAlignment="1">
      <alignment horizontal="center" vertical="center"/>
    </xf>
  </cellXfs>
  <cellStyles count="57">
    <cellStyle name="20% - Ênfase1" xfId="30" builtinId="30" customBuiltin="1"/>
    <cellStyle name="20% - Ênfase2" xfId="33" builtinId="34" customBuiltin="1"/>
    <cellStyle name="20% - Ênfase3" xfId="36" builtinId="38" customBuiltin="1"/>
    <cellStyle name="20% - Ênfase4" xfId="39" builtinId="42" customBuiltin="1"/>
    <cellStyle name="20% - Ênfase5" xfId="42" builtinId="46" customBuiltin="1"/>
    <cellStyle name="20% - Ênfase6" xfId="45" builtinId="50" customBuiltin="1"/>
    <cellStyle name="40% - Ênfase1" xfId="31" builtinId="31" customBuiltin="1"/>
    <cellStyle name="40% - Ênfase2" xfId="34" builtinId="35" customBuiltin="1"/>
    <cellStyle name="40% - Ênfase3" xfId="37" builtinId="39" customBuiltin="1"/>
    <cellStyle name="40% - Ênfase4" xfId="40" builtinId="43" customBuiltin="1"/>
    <cellStyle name="40% - Ênfase5" xfId="43" builtinId="47" customBuiltin="1"/>
    <cellStyle name="40% - Ênfase6" xfId="46" builtinId="51" customBuiltin="1"/>
    <cellStyle name="60% - Ênfase1 2" xfId="48"/>
    <cellStyle name="60% - Ênfase2 2" xfId="49"/>
    <cellStyle name="60% - Ênfase3 2" xfId="50"/>
    <cellStyle name="60% - Ênfase4 2" xfId="51"/>
    <cellStyle name="60% - Ênfase5 2" xfId="52"/>
    <cellStyle name="60% - Ênfase6 2" xfId="53"/>
    <cellStyle name="Bom" xfId="18" builtinId="26" customBuiltin="1"/>
    <cellStyle name="Cálculo" xfId="22" builtinId="22" customBuiltin="1"/>
    <cellStyle name="Célula de Verificação" xfId="24" builtinId="23" customBuiltin="1"/>
    <cellStyle name="Célula Vinculada" xfId="23" builtinId="24" customBuiltin="1"/>
    <cellStyle name="Comma 2" xfId="1"/>
    <cellStyle name="Comma 3" xfId="2"/>
    <cellStyle name="Ênfase1" xfId="29" builtinId="29" customBuiltin="1"/>
    <cellStyle name="Ênfase2" xfId="32" builtinId="33" customBuiltin="1"/>
    <cellStyle name="Ênfase3" xfId="35" builtinId="37" customBuiltin="1"/>
    <cellStyle name="Ênfase4" xfId="38" builtinId="41" customBuiltin="1"/>
    <cellStyle name="Ênfase5" xfId="41" builtinId="45" customBuiltin="1"/>
    <cellStyle name="Ênfase6" xfId="44" builtinId="49" customBuiltin="1"/>
    <cellStyle name="Entrada" xfId="20" builtinId="20" customBuiltin="1"/>
    <cellStyle name="Incorreto" xfId="19" builtinId="27" customBuiltin="1"/>
    <cellStyle name="Moeda" xfId="3" builtinId="4"/>
    <cellStyle name="Moeda 3" xfId="56"/>
    <cellStyle name="Neutro 2" xfId="47"/>
    <cellStyle name="Normal" xfId="0" builtinId="0"/>
    <cellStyle name="Normal 2" xfId="4"/>
    <cellStyle name="Normal 2 2" xfId="5"/>
    <cellStyle name="Nota" xfId="26" builtinId="10" customBuiltin="1"/>
    <cellStyle name="Percent 2" xfId="6"/>
    <cellStyle name="Porcentagem" xfId="7" builtinId="5"/>
    <cellStyle name="Porcentagem 2" xfId="12"/>
    <cellStyle name="Porcentagem 3" xfId="55"/>
    <cellStyle name="Saída" xfId="21" builtinId="21" customBuiltin="1"/>
    <cellStyle name="Separador de milhares 2" xfId="11"/>
    <cellStyle name="Separador de milhares_BDI" xfId="54"/>
    <cellStyle name="Texto de Aviso" xfId="25" builtinId="11" customBuiltin="1"/>
    <cellStyle name="Texto Explicativo" xfId="27" builtinId="53" customBuiltin="1"/>
    <cellStyle name="Título" xfId="13" builtinId="15" customBuiltin="1"/>
    <cellStyle name="Título 1" xfId="14" builtinId="16" customBuiltin="1"/>
    <cellStyle name="Título 2" xfId="15" builtinId="17" customBuiltin="1"/>
    <cellStyle name="Título 3" xfId="16" builtinId="18" customBuiltin="1"/>
    <cellStyle name="Título 4" xfId="17" builtinId="19" customBuiltin="1"/>
    <cellStyle name="Total" xfId="28" builtinId="25" customBuiltin="1"/>
    <cellStyle name="Vírgula" xfId="8" builtinId="3"/>
    <cellStyle name="Vírgula 2" xfId="9"/>
    <cellStyle name="Vírgula 3" xfId="10"/>
  </cellStyles>
  <dxfs count="0"/>
  <tableStyles count="0" defaultTableStyle="TableStyleMedium2" defaultPivotStyle="PivotStyleLight16"/>
  <colors>
    <mruColors>
      <color rgb="FFFFFFCC"/>
      <color rgb="FFCC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jpe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270332</xdr:colOff>
      <xdr:row>1</xdr:row>
      <xdr:rowOff>78517</xdr:rowOff>
    </xdr:from>
    <xdr:to>
      <xdr:col>6</xdr:col>
      <xdr:colOff>268942</xdr:colOff>
      <xdr:row>4</xdr:row>
      <xdr:rowOff>118187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9361" y="257811"/>
          <a:ext cx="2150140" cy="577552"/>
        </a:xfrm>
        <a:prstGeom prst="rect">
          <a:avLst/>
        </a:prstGeom>
      </xdr:spPr>
    </xdr:pic>
    <xdr:clientData/>
  </xdr:twoCellAnchor>
  <xdr:twoCellAnchor editAs="oneCell">
    <xdr:from>
      <xdr:col>4</xdr:col>
      <xdr:colOff>156883</xdr:colOff>
      <xdr:row>0</xdr:row>
      <xdr:rowOff>112058</xdr:rowOff>
    </xdr:from>
    <xdr:to>
      <xdr:col>5</xdr:col>
      <xdr:colOff>204155</xdr:colOff>
      <xdr:row>5</xdr:row>
      <xdr:rowOff>123778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12" y="112058"/>
          <a:ext cx="1571272" cy="908191"/>
        </a:xfrm>
        <a:prstGeom prst="rect">
          <a:avLst/>
        </a:prstGeom>
      </xdr:spPr>
    </xdr:pic>
    <xdr:clientData/>
  </xdr:twoCellAnchor>
  <xdr:twoCellAnchor editAs="oneCell">
    <xdr:from>
      <xdr:col>1</xdr:col>
      <xdr:colOff>168088</xdr:colOff>
      <xdr:row>0</xdr:row>
      <xdr:rowOff>159287</xdr:rowOff>
    </xdr:from>
    <xdr:to>
      <xdr:col>3</xdr:col>
      <xdr:colOff>910076</xdr:colOff>
      <xdr:row>5</xdr:row>
      <xdr:rowOff>43464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853" y="159287"/>
          <a:ext cx="2516999" cy="780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1047749</xdr:colOff>
      <xdr:row>0</xdr:row>
      <xdr:rowOff>148155</xdr:rowOff>
    </xdr:from>
    <xdr:to>
      <xdr:col>6</xdr:col>
      <xdr:colOff>855918</xdr:colOff>
      <xdr:row>3</xdr:row>
      <xdr:rowOff>118256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5" y="148155"/>
          <a:ext cx="2066955" cy="555208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0</xdr:row>
      <xdr:rowOff>149678</xdr:rowOff>
    </xdr:from>
    <xdr:to>
      <xdr:col>4</xdr:col>
      <xdr:colOff>987202</xdr:colOff>
      <xdr:row>4</xdr:row>
      <xdr:rowOff>136072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149678"/>
          <a:ext cx="1204916" cy="762001"/>
        </a:xfrm>
        <a:prstGeom prst="rect">
          <a:avLst/>
        </a:prstGeom>
      </xdr:spPr>
    </xdr:pic>
    <xdr:clientData/>
  </xdr:twoCellAnchor>
  <xdr:twoCellAnchor editAs="oneCell">
    <xdr:from>
      <xdr:col>2</xdr:col>
      <xdr:colOff>2993571</xdr:colOff>
      <xdr:row>0</xdr:row>
      <xdr:rowOff>74443</xdr:rowOff>
    </xdr:from>
    <xdr:to>
      <xdr:col>3</xdr:col>
      <xdr:colOff>1115462</xdr:colOff>
      <xdr:row>3</xdr:row>
      <xdr:rowOff>151816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714" y="74443"/>
          <a:ext cx="2190427" cy="662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2</xdr:row>
      <xdr:rowOff>66675</xdr:rowOff>
    </xdr:from>
    <xdr:to>
      <xdr:col>13</xdr:col>
      <xdr:colOff>104775</xdr:colOff>
      <xdr:row>10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DB823A2-3B73-4C73-AC11-90E0841B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5"/>
        <a:stretch>
          <a:fillRect/>
        </a:stretch>
      </xdr:blipFill>
      <xdr:spPr bwMode="auto">
        <a:xfrm>
          <a:off x="7324725" y="390525"/>
          <a:ext cx="37719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400050</xdr:colOff>
      <xdr:row>1</xdr:row>
      <xdr:rowOff>123825</xdr:rowOff>
    </xdr:from>
    <xdr:to>
      <xdr:col>20</xdr:col>
      <xdr:colOff>123825</xdr:colOff>
      <xdr:row>15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57E2BF0-52E3-4C4B-80B7-9D7E501AA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285750"/>
          <a:ext cx="399097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542925</xdr:colOff>
      <xdr:row>17</xdr:row>
      <xdr:rowOff>28575</xdr:rowOff>
    </xdr:from>
    <xdr:to>
      <xdr:col>18</xdr:col>
      <xdr:colOff>409575</xdr:colOff>
      <xdr:row>30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6FCAED9-40BA-4946-B214-516036C98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114675"/>
          <a:ext cx="41338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447676</xdr:colOff>
      <xdr:row>22</xdr:row>
      <xdr:rowOff>142875</xdr:rowOff>
    </xdr:from>
    <xdr:to>
      <xdr:col>2</xdr:col>
      <xdr:colOff>628650</xdr:colOff>
      <xdr:row>26</xdr:row>
      <xdr:rowOff>142875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9E79CA33-37AC-4C71-B8B5-DDA665639206}"/>
            </a:ext>
          </a:extLst>
        </xdr:cNvPr>
        <xdr:cNvSpPr txBox="1">
          <a:spLocks noChangeArrowheads="1"/>
        </xdr:cNvSpPr>
      </xdr:nvSpPr>
      <xdr:spPr bwMode="auto">
        <a:xfrm>
          <a:off x="447676" y="6819900"/>
          <a:ext cx="402907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BDI</a:t>
          </a:r>
          <a:r>
            <a:rPr lang="pt-BR" sz="1400" b="1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=(((1+AC+SGR)∗(1+DF)∗(1+L)))/((1-T)  )-1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424295</xdr:colOff>
      <xdr:row>1</xdr:row>
      <xdr:rowOff>160303</xdr:rowOff>
    </xdr:from>
    <xdr:to>
      <xdr:col>14</xdr:col>
      <xdr:colOff>516977</xdr:colOff>
      <xdr:row>4</xdr:row>
      <xdr:rowOff>161329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9840" y="333485"/>
          <a:ext cx="2066955" cy="555208"/>
        </a:xfrm>
        <a:prstGeom prst="rect">
          <a:avLst/>
        </a:prstGeom>
      </xdr:spPr>
    </xdr:pic>
    <xdr:clientData/>
  </xdr:twoCellAnchor>
  <xdr:twoCellAnchor editAs="oneCell">
    <xdr:from>
      <xdr:col>11</xdr:col>
      <xdr:colOff>785809</xdr:colOff>
      <xdr:row>1</xdr:row>
      <xdr:rowOff>144508</xdr:rowOff>
    </xdr:from>
    <xdr:to>
      <xdr:col>12</xdr:col>
      <xdr:colOff>398382</xdr:colOff>
      <xdr:row>5</xdr:row>
      <xdr:rowOff>51954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5900" y="317690"/>
          <a:ext cx="998028" cy="652128"/>
        </a:xfrm>
        <a:prstGeom prst="rect">
          <a:avLst/>
        </a:prstGeom>
      </xdr:spPr>
    </xdr:pic>
    <xdr:clientData/>
  </xdr:twoCellAnchor>
  <xdr:twoCellAnchor editAs="oneCell">
    <xdr:from>
      <xdr:col>9</xdr:col>
      <xdr:colOff>51954</xdr:colOff>
      <xdr:row>1</xdr:row>
      <xdr:rowOff>0</xdr:rowOff>
    </xdr:from>
    <xdr:to>
      <xdr:col>11</xdr:col>
      <xdr:colOff>5861</xdr:colOff>
      <xdr:row>4</xdr:row>
      <xdr:rowOff>108298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772" y="173182"/>
          <a:ext cx="2135997" cy="662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385464</xdr:colOff>
      <xdr:row>2</xdr:row>
      <xdr:rowOff>4439</xdr:rowOff>
    </xdr:from>
    <xdr:to>
      <xdr:col>21</xdr:col>
      <xdr:colOff>455500</xdr:colOff>
      <xdr:row>5</xdr:row>
      <xdr:rowOff>26005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4282" y="350803"/>
          <a:ext cx="2078945" cy="558429"/>
        </a:xfrm>
        <a:prstGeom prst="rect">
          <a:avLst/>
        </a:prstGeom>
      </xdr:spPr>
    </xdr:pic>
    <xdr:clientData/>
  </xdr:twoCellAnchor>
  <xdr:twoCellAnchor editAs="oneCell">
    <xdr:from>
      <xdr:col>18</xdr:col>
      <xdr:colOff>710045</xdr:colOff>
      <xdr:row>1</xdr:row>
      <xdr:rowOff>109872</xdr:rowOff>
    </xdr:from>
    <xdr:to>
      <xdr:col>19</xdr:col>
      <xdr:colOff>363682</xdr:colOff>
      <xdr:row>5</xdr:row>
      <xdr:rowOff>56155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8045" y="283054"/>
          <a:ext cx="1004455" cy="656328"/>
        </a:xfrm>
        <a:prstGeom prst="rect">
          <a:avLst/>
        </a:prstGeom>
      </xdr:spPr>
    </xdr:pic>
    <xdr:clientData/>
  </xdr:twoCellAnchor>
  <xdr:twoCellAnchor editAs="oneCell">
    <xdr:from>
      <xdr:col>15</xdr:col>
      <xdr:colOff>1</xdr:colOff>
      <xdr:row>1</xdr:row>
      <xdr:rowOff>51954</xdr:rowOff>
    </xdr:from>
    <xdr:to>
      <xdr:col>17</xdr:col>
      <xdr:colOff>155863</xdr:colOff>
      <xdr:row>5</xdr:row>
      <xdr:rowOff>61655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7819" y="225136"/>
          <a:ext cx="2320636" cy="7197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54428</xdr:colOff>
      <xdr:row>0</xdr:row>
      <xdr:rowOff>65053</xdr:rowOff>
    </xdr:from>
    <xdr:to>
      <xdr:col>13</xdr:col>
      <xdr:colOff>886844</xdr:colOff>
      <xdr:row>3</xdr:row>
      <xdr:rowOff>21133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714" y="65053"/>
          <a:ext cx="1812130" cy="486759"/>
        </a:xfrm>
        <a:prstGeom prst="rect">
          <a:avLst/>
        </a:prstGeom>
      </xdr:spPr>
    </xdr:pic>
    <xdr:clientData/>
  </xdr:twoCellAnchor>
  <xdr:twoCellAnchor editAs="oneCell">
    <xdr:from>
      <xdr:col>11</xdr:col>
      <xdr:colOff>143831</xdr:colOff>
      <xdr:row>0</xdr:row>
      <xdr:rowOff>103687</xdr:rowOff>
    </xdr:from>
    <xdr:to>
      <xdr:col>11</xdr:col>
      <xdr:colOff>984728</xdr:colOff>
      <xdr:row>3</xdr:row>
      <xdr:rowOff>122464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5760" y="103687"/>
          <a:ext cx="840897" cy="549456"/>
        </a:xfrm>
        <a:prstGeom prst="rect">
          <a:avLst/>
        </a:prstGeom>
      </xdr:spPr>
    </xdr:pic>
    <xdr:clientData/>
  </xdr:twoCellAnchor>
  <xdr:twoCellAnchor editAs="oneCell">
    <xdr:from>
      <xdr:col>8</xdr:col>
      <xdr:colOff>639536</xdr:colOff>
      <xdr:row>0</xdr:row>
      <xdr:rowOff>0</xdr:rowOff>
    </xdr:from>
    <xdr:to>
      <xdr:col>10</xdr:col>
      <xdr:colOff>856926</xdr:colOff>
      <xdr:row>3</xdr:row>
      <xdr:rowOff>131801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0"/>
          <a:ext cx="2135997" cy="662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22412</xdr:colOff>
      <xdr:row>0</xdr:row>
      <xdr:rowOff>129663</xdr:rowOff>
    </xdr:from>
    <xdr:to>
      <xdr:col>4</xdr:col>
      <xdr:colOff>888746</xdr:colOff>
      <xdr:row>3</xdr:row>
      <xdr:rowOff>147679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5236" y="129663"/>
          <a:ext cx="866334" cy="555898"/>
        </a:xfrm>
        <a:prstGeom prst="rect">
          <a:avLst/>
        </a:prstGeom>
      </xdr:spPr>
    </xdr:pic>
    <xdr:clientData/>
  </xdr:twoCellAnchor>
  <xdr:twoCellAnchor editAs="oneCell">
    <xdr:from>
      <xdr:col>4</xdr:col>
      <xdr:colOff>830035</xdr:colOff>
      <xdr:row>0</xdr:row>
      <xdr:rowOff>0</xdr:rowOff>
    </xdr:from>
    <xdr:to>
      <xdr:col>6</xdr:col>
      <xdr:colOff>734497</xdr:colOff>
      <xdr:row>2</xdr:row>
      <xdr:rowOff>74127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8856" y="0"/>
          <a:ext cx="1414855" cy="427913"/>
        </a:xfrm>
        <a:prstGeom prst="rect">
          <a:avLst/>
        </a:prstGeom>
      </xdr:spPr>
    </xdr:pic>
    <xdr:clientData/>
  </xdr:twoCellAnchor>
  <xdr:twoCellAnchor editAs="oneCell">
    <xdr:from>
      <xdr:col>4</xdr:col>
      <xdr:colOff>877259</xdr:colOff>
      <xdr:row>2</xdr:row>
      <xdr:rowOff>67308</xdr:rowOff>
    </xdr:from>
    <xdr:to>
      <xdr:col>6</xdr:col>
      <xdr:colOff>701967</xdr:colOff>
      <xdr:row>4</xdr:row>
      <xdr:rowOff>72147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6080" y="421094"/>
          <a:ext cx="1335101" cy="358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279347</xdr:colOff>
      <xdr:row>2</xdr:row>
      <xdr:rowOff>19206</xdr:rowOff>
    </xdr:from>
    <xdr:to>
      <xdr:col>7</xdr:col>
      <xdr:colOff>385281</xdr:colOff>
      <xdr:row>4</xdr:row>
      <xdr:rowOff>152815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4406" y="377794"/>
          <a:ext cx="778287" cy="492197"/>
        </a:xfrm>
        <a:prstGeom prst="rect">
          <a:avLst/>
        </a:prstGeom>
      </xdr:spPr>
    </xdr:pic>
    <xdr:clientData/>
  </xdr:twoCellAnchor>
  <xdr:twoCellAnchor editAs="oneCell">
    <xdr:from>
      <xdr:col>5</xdr:col>
      <xdr:colOff>11206</xdr:colOff>
      <xdr:row>0</xdr:row>
      <xdr:rowOff>67235</xdr:rowOff>
    </xdr:from>
    <xdr:to>
      <xdr:col>6</xdr:col>
      <xdr:colOff>451149</xdr:colOff>
      <xdr:row>2</xdr:row>
      <xdr:rowOff>136560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353" y="67235"/>
          <a:ext cx="1414855" cy="427913"/>
        </a:xfrm>
        <a:prstGeom prst="rect">
          <a:avLst/>
        </a:prstGeom>
      </xdr:spPr>
    </xdr:pic>
    <xdr:clientData/>
  </xdr:twoCellAnchor>
  <xdr:twoCellAnchor editAs="oneCell">
    <xdr:from>
      <xdr:col>7</xdr:col>
      <xdr:colOff>166486</xdr:colOff>
      <xdr:row>0</xdr:row>
      <xdr:rowOff>107329</xdr:rowOff>
    </xdr:from>
    <xdr:to>
      <xdr:col>7</xdr:col>
      <xdr:colOff>1501587</xdr:colOff>
      <xdr:row>2</xdr:row>
      <xdr:rowOff>107365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3898" y="107329"/>
          <a:ext cx="1335101" cy="358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385464</xdr:colOff>
      <xdr:row>2</xdr:row>
      <xdr:rowOff>4439</xdr:rowOff>
    </xdr:from>
    <xdr:to>
      <xdr:col>15</xdr:col>
      <xdr:colOff>57181</xdr:colOff>
      <xdr:row>5</xdr:row>
      <xdr:rowOff>26005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0164" y="356864"/>
          <a:ext cx="2070285" cy="574016"/>
        </a:xfrm>
        <a:prstGeom prst="rect">
          <a:avLst/>
        </a:prstGeom>
      </xdr:spPr>
    </xdr:pic>
    <xdr:clientData/>
  </xdr:twoCellAnchor>
  <xdr:twoCellAnchor editAs="oneCell">
    <xdr:from>
      <xdr:col>11</xdr:col>
      <xdr:colOff>710045</xdr:colOff>
      <xdr:row>1</xdr:row>
      <xdr:rowOff>109872</xdr:rowOff>
    </xdr:from>
    <xdr:to>
      <xdr:col>13</xdr:col>
      <xdr:colOff>121228</xdr:colOff>
      <xdr:row>5</xdr:row>
      <xdr:rowOff>56155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1720" y="290847"/>
          <a:ext cx="996663" cy="670183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</xdr:row>
      <xdr:rowOff>51954</xdr:rowOff>
    </xdr:from>
    <xdr:to>
      <xdr:col>10</xdr:col>
      <xdr:colOff>415637</xdr:colOff>
      <xdr:row>5</xdr:row>
      <xdr:rowOff>61655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6" y="232929"/>
          <a:ext cx="2318038" cy="733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2060"/>
    <pageSetUpPr fitToPage="1"/>
  </sheetPr>
  <dimension ref="A1:M36"/>
  <sheetViews>
    <sheetView showGridLines="0" view="pageBreakPreview" zoomScale="85" zoomScaleSheetLayoutView="85" workbookViewId="0">
      <selection activeCell="E18" sqref="E18"/>
    </sheetView>
  </sheetViews>
  <sheetFormatPr defaultColWidth="9.140625" defaultRowHeight="16.5" x14ac:dyDescent="0.35"/>
  <cols>
    <col min="1" max="1" width="9.140625" style="3"/>
    <col min="2" max="2" width="4.85546875" style="3" customWidth="1"/>
    <col min="3" max="3" width="18" style="3" customWidth="1"/>
    <col min="4" max="4" width="13.7109375" style="3" customWidth="1"/>
    <col min="5" max="5" width="20" style="3" customWidth="1"/>
    <col min="6" max="6" width="28.28515625" style="3" customWidth="1"/>
    <col min="7" max="7" width="6.28515625" style="3" customWidth="1"/>
    <col min="8" max="8" width="24.85546875" style="3" customWidth="1"/>
    <col min="9" max="9" width="21" style="3" bestFit="1" customWidth="1"/>
    <col min="10" max="12" width="9.140625" style="3"/>
    <col min="13" max="13" width="19" style="3" bestFit="1" customWidth="1"/>
    <col min="14" max="16384" width="9.140625" style="3"/>
  </cols>
  <sheetData>
    <row r="1" spans="1:13" x14ac:dyDescent="0.35">
      <c r="A1" s="142"/>
      <c r="B1" s="360"/>
      <c r="C1" s="361"/>
      <c r="D1" s="361"/>
      <c r="E1" s="361"/>
      <c r="F1" s="361"/>
      <c r="G1" s="362"/>
      <c r="H1" s="142"/>
    </row>
    <row r="2" spans="1:13" x14ac:dyDescent="0.35">
      <c r="A2" s="142"/>
      <c r="B2" s="214"/>
      <c r="C2" s="142"/>
      <c r="D2" s="142"/>
      <c r="E2" s="142"/>
      <c r="F2" s="142"/>
      <c r="G2" s="215"/>
      <c r="H2" s="142"/>
    </row>
    <row r="3" spans="1:13" x14ac:dyDescent="0.35">
      <c r="A3" s="142"/>
      <c r="B3" s="214"/>
      <c r="C3" s="142"/>
      <c r="D3" s="142"/>
      <c r="E3" s="142"/>
      <c r="F3" s="142"/>
      <c r="G3" s="215"/>
      <c r="H3" s="142"/>
    </row>
    <row r="4" spans="1:13" x14ac:dyDescent="0.35">
      <c r="A4" s="142"/>
      <c r="B4" s="214"/>
      <c r="C4" s="142"/>
      <c r="D4" s="142"/>
      <c r="E4" s="142"/>
      <c r="F4" s="142"/>
      <c r="G4" s="215"/>
      <c r="H4" s="142"/>
    </row>
    <row r="5" spans="1:13" x14ac:dyDescent="0.35">
      <c r="A5" s="142"/>
      <c r="B5" s="214"/>
      <c r="C5" s="142"/>
      <c r="D5" s="142"/>
      <c r="E5" s="142"/>
      <c r="F5" s="142"/>
      <c r="G5" s="215"/>
      <c r="H5" s="142"/>
    </row>
    <row r="6" spans="1:13" x14ac:dyDescent="0.35">
      <c r="A6" s="142"/>
      <c r="B6" s="214"/>
      <c r="C6" s="142"/>
      <c r="D6" s="142"/>
      <c r="E6" s="142"/>
      <c r="F6" s="142"/>
      <c r="G6" s="215"/>
      <c r="H6" s="142"/>
    </row>
    <row r="7" spans="1:13" ht="22.5" x14ac:dyDescent="0.45">
      <c r="A7" s="142"/>
      <c r="B7" s="602" t="s">
        <v>375</v>
      </c>
      <c r="C7" s="602"/>
      <c r="D7" s="602"/>
      <c r="E7" s="602"/>
      <c r="F7" s="602"/>
      <c r="G7" s="602"/>
      <c r="H7" s="142"/>
    </row>
    <row r="8" spans="1:13" ht="17.25" x14ac:dyDescent="0.35">
      <c r="A8" s="142"/>
      <c r="B8" s="603" t="s">
        <v>29</v>
      </c>
      <c r="C8" s="604"/>
      <c r="D8" s="604"/>
      <c r="E8" s="604"/>
      <c r="F8" s="604"/>
      <c r="G8" s="605"/>
      <c r="H8" s="142"/>
    </row>
    <row r="9" spans="1:13" x14ac:dyDescent="0.35">
      <c r="A9" s="142"/>
      <c r="B9" s="214"/>
      <c r="C9" s="142"/>
      <c r="D9" s="142"/>
      <c r="E9" s="142"/>
      <c r="F9" s="142"/>
      <c r="G9" s="215"/>
      <c r="H9" s="142"/>
    </row>
    <row r="10" spans="1:13" ht="17.25" x14ac:dyDescent="0.35">
      <c r="A10" s="142"/>
      <c r="B10" s="608" t="s">
        <v>4</v>
      </c>
      <c r="C10" s="609"/>
      <c r="D10" s="609"/>
      <c r="E10" s="612" t="s">
        <v>752</v>
      </c>
      <c r="F10" s="613"/>
      <c r="G10" s="215"/>
      <c r="H10" s="386"/>
    </row>
    <row r="11" spans="1:13" ht="17.25" x14ac:dyDescent="0.35">
      <c r="A11" s="142"/>
      <c r="B11" s="608" t="s">
        <v>5</v>
      </c>
      <c r="C11" s="609"/>
      <c r="D11" s="609"/>
      <c r="E11" s="610" t="s">
        <v>967</v>
      </c>
      <c r="F11" s="611"/>
      <c r="G11" s="215"/>
      <c r="H11" s="386"/>
    </row>
    <row r="12" spans="1:13" ht="17.25" x14ac:dyDescent="0.35">
      <c r="A12" s="142"/>
      <c r="B12" s="608" t="s">
        <v>6</v>
      </c>
      <c r="C12" s="609"/>
      <c r="D12" s="609"/>
      <c r="E12" s="612" t="s">
        <v>376</v>
      </c>
      <c r="F12" s="613"/>
      <c r="G12" s="215"/>
      <c r="H12" s="142"/>
    </row>
    <row r="13" spans="1:13" ht="17.25" x14ac:dyDescent="0.35">
      <c r="A13" s="142"/>
      <c r="B13" s="216"/>
      <c r="C13" s="143"/>
      <c r="D13" s="143"/>
      <c r="E13" s="413"/>
      <c r="F13" s="413"/>
      <c r="G13" s="215"/>
      <c r="H13" s="142"/>
    </row>
    <row r="14" spans="1:13" ht="17.25" x14ac:dyDescent="0.35">
      <c r="A14" s="142"/>
      <c r="B14" s="216"/>
      <c r="C14" s="143"/>
      <c r="D14" s="144" t="s">
        <v>7</v>
      </c>
      <c r="E14" s="612" t="s">
        <v>539</v>
      </c>
      <c r="F14" s="613"/>
      <c r="G14" s="215"/>
      <c r="H14" s="142"/>
    </row>
    <row r="15" spans="1:13" ht="17.25" x14ac:dyDescent="0.35">
      <c r="A15" s="142"/>
      <c r="B15" s="216"/>
      <c r="C15" s="143"/>
      <c r="D15" s="144"/>
      <c r="E15" s="49"/>
      <c r="F15" s="9"/>
      <c r="G15" s="215"/>
      <c r="H15" s="142"/>
    </row>
    <row r="16" spans="1:13" ht="17.25" x14ac:dyDescent="0.35">
      <c r="A16" s="142"/>
      <c r="B16" s="216"/>
      <c r="C16" s="143"/>
      <c r="D16" s="144"/>
      <c r="E16" s="49"/>
      <c r="F16" s="9"/>
      <c r="G16" s="215"/>
      <c r="H16" s="49"/>
      <c r="M16" s="344"/>
    </row>
    <row r="17" spans="1:10" ht="17.25" x14ac:dyDescent="0.35">
      <c r="A17" s="142"/>
      <c r="B17" s="216"/>
      <c r="C17" s="143"/>
      <c r="D17" s="144" t="s">
        <v>30</v>
      </c>
      <c r="E17" s="321">
        <f>Resumo!E33</f>
        <v>520600.05000000005</v>
      </c>
      <c r="F17" s="8"/>
      <c r="G17" s="215"/>
      <c r="H17" s="49"/>
    </row>
    <row r="18" spans="1:10" ht="17.25" x14ac:dyDescent="0.35">
      <c r="A18" s="142"/>
      <c r="B18" s="216"/>
      <c r="C18" s="143"/>
      <c r="D18" s="144" t="s">
        <v>70</v>
      </c>
      <c r="E18" s="414">
        <v>3</v>
      </c>
      <c r="F18" s="49"/>
      <c r="G18" s="215"/>
      <c r="H18" s="352"/>
      <c r="I18" s="344"/>
      <c r="J18" s="374"/>
    </row>
    <row r="19" spans="1:10" ht="17.25" x14ac:dyDescent="0.35">
      <c r="A19" s="142"/>
      <c r="B19" s="216"/>
      <c r="C19" s="143"/>
      <c r="D19" s="143"/>
      <c r="E19" s="142"/>
      <c r="F19" s="142"/>
      <c r="G19" s="215"/>
      <c r="H19" s="352"/>
      <c r="I19" s="375"/>
    </row>
    <row r="20" spans="1:10" ht="17.25" x14ac:dyDescent="0.35">
      <c r="A20" s="142"/>
      <c r="B20" s="216"/>
      <c r="C20" s="144" t="s">
        <v>98</v>
      </c>
      <c r="D20" s="415">
        <f>280+108+32+85</f>
        <v>505</v>
      </c>
      <c r="E20" s="144" t="s">
        <v>31</v>
      </c>
      <c r="F20" s="48">
        <f>E17/D20</f>
        <v>1030.8911881188119</v>
      </c>
      <c r="G20" s="215"/>
      <c r="H20" s="146"/>
      <c r="I20" s="354"/>
    </row>
    <row r="21" spans="1:10" ht="17.25" x14ac:dyDescent="0.35">
      <c r="A21" s="142"/>
      <c r="B21" s="216"/>
      <c r="C21" s="143"/>
      <c r="D21" s="144"/>
      <c r="E21" s="9"/>
      <c r="F21" s="8"/>
      <c r="G21" s="215"/>
      <c r="H21" s="142"/>
      <c r="I21" s="345"/>
    </row>
    <row r="22" spans="1:10" ht="17.25" hidden="1" x14ac:dyDescent="0.35">
      <c r="A22" s="142"/>
      <c r="B22" s="216"/>
      <c r="C22" s="606" t="s">
        <v>33</v>
      </c>
      <c r="D22" s="607"/>
      <c r="E22" s="363" t="s">
        <v>113</v>
      </c>
      <c r="F22" s="364"/>
      <c r="G22" s="215"/>
      <c r="H22" s="142"/>
      <c r="I22" s="251"/>
    </row>
    <row r="23" spans="1:10" ht="17.25" x14ac:dyDescent="0.35">
      <c r="A23" s="142"/>
      <c r="B23" s="216"/>
      <c r="C23" s="10"/>
      <c r="D23" s="10"/>
      <c r="E23" s="11"/>
      <c r="F23" s="11"/>
      <c r="G23" s="215"/>
      <c r="H23" s="355"/>
      <c r="I23" s="251"/>
    </row>
    <row r="24" spans="1:10" ht="17.25" x14ac:dyDescent="0.35">
      <c r="A24" s="142"/>
      <c r="B24" s="216"/>
      <c r="C24" s="365" t="s">
        <v>82</v>
      </c>
      <c r="D24" s="366">
        <v>0.25</v>
      </c>
      <c r="E24" s="11"/>
      <c r="F24" s="11"/>
      <c r="G24" s="215"/>
      <c r="H24" s="142"/>
      <c r="I24" s="251"/>
    </row>
    <row r="25" spans="1:10" ht="17.25" x14ac:dyDescent="0.35">
      <c r="A25" s="142"/>
      <c r="B25" s="216"/>
      <c r="C25" s="143"/>
      <c r="D25" s="143"/>
      <c r="E25" s="142"/>
      <c r="F25" s="142"/>
      <c r="G25" s="215"/>
      <c r="H25" s="142"/>
      <c r="I25" s="344"/>
    </row>
    <row r="26" spans="1:10" ht="17.25" x14ac:dyDescent="0.35">
      <c r="A26" s="142"/>
      <c r="B26" s="216"/>
      <c r="C26" s="143"/>
      <c r="D26" s="143" t="s">
        <v>11</v>
      </c>
      <c r="E26" s="551">
        <v>44426</v>
      </c>
      <c r="F26" s="142"/>
      <c r="G26" s="215"/>
      <c r="H26" s="142"/>
    </row>
    <row r="27" spans="1:10" ht="17.25" x14ac:dyDescent="0.35">
      <c r="A27" s="142"/>
      <c r="B27" s="216"/>
      <c r="C27" s="143"/>
      <c r="D27" s="143"/>
      <c r="E27" s="9"/>
      <c r="F27" s="142"/>
      <c r="G27" s="215"/>
      <c r="H27" s="142"/>
    </row>
    <row r="28" spans="1:10" ht="17.25" x14ac:dyDescent="0.35">
      <c r="A28" s="142"/>
      <c r="B28" s="216"/>
      <c r="C28" s="143"/>
      <c r="D28" s="143"/>
      <c r="E28" s="142"/>
      <c r="F28" s="142"/>
      <c r="G28" s="215"/>
      <c r="H28" s="142"/>
    </row>
    <row r="29" spans="1:10" ht="17.25" x14ac:dyDescent="0.35">
      <c r="A29" s="142"/>
      <c r="B29" s="216"/>
      <c r="C29" s="143"/>
      <c r="D29" s="143" t="s">
        <v>12</v>
      </c>
      <c r="E29" s="552" t="s">
        <v>968</v>
      </c>
      <c r="F29" s="142"/>
      <c r="G29" s="215"/>
      <c r="H29" s="142"/>
    </row>
    <row r="30" spans="1:10" x14ac:dyDescent="0.35">
      <c r="A30" s="142"/>
      <c r="B30" s="214"/>
      <c r="C30" s="142"/>
      <c r="D30" s="142"/>
      <c r="E30" s="367"/>
      <c r="F30" s="368"/>
      <c r="G30" s="215"/>
      <c r="H30" s="142"/>
    </row>
    <row r="31" spans="1:10" ht="17.25" x14ac:dyDescent="0.35">
      <c r="A31" s="142"/>
      <c r="B31" s="214"/>
      <c r="C31" s="619" t="s">
        <v>32</v>
      </c>
      <c r="D31" s="620"/>
      <c r="E31" s="620"/>
      <c r="F31" s="621"/>
      <c r="G31" s="215"/>
      <c r="H31" s="142"/>
    </row>
    <row r="32" spans="1:10" x14ac:dyDescent="0.35">
      <c r="A32" s="142"/>
      <c r="B32" s="214"/>
      <c r="C32" s="126" t="s">
        <v>25</v>
      </c>
      <c r="D32" s="618" t="s">
        <v>107</v>
      </c>
      <c r="E32" s="618"/>
      <c r="F32" s="618"/>
      <c r="G32" s="215"/>
      <c r="H32" s="142"/>
    </row>
    <row r="33" spans="1:8" x14ac:dyDescent="0.35">
      <c r="A33" s="142"/>
      <c r="B33" s="214"/>
      <c r="C33" s="575" t="s">
        <v>939</v>
      </c>
      <c r="D33" s="622" t="s">
        <v>940</v>
      </c>
      <c r="E33" s="623"/>
      <c r="F33" s="623"/>
      <c r="G33" s="215"/>
      <c r="H33" s="142"/>
    </row>
    <row r="34" spans="1:8" x14ac:dyDescent="0.35">
      <c r="A34" s="142"/>
      <c r="B34" s="214"/>
      <c r="C34" s="4" t="s">
        <v>958</v>
      </c>
      <c r="D34" s="616" t="s">
        <v>966</v>
      </c>
      <c r="E34" s="617"/>
      <c r="F34" s="617"/>
      <c r="G34" s="215"/>
      <c r="H34" s="142"/>
    </row>
    <row r="35" spans="1:8" x14ac:dyDescent="0.35">
      <c r="A35" s="142"/>
      <c r="B35" s="214"/>
      <c r="C35" s="116" t="s">
        <v>968</v>
      </c>
      <c r="D35" s="614" t="s">
        <v>969</v>
      </c>
      <c r="E35" s="615"/>
      <c r="F35" s="615"/>
      <c r="G35" s="215"/>
      <c r="H35" s="142"/>
    </row>
    <row r="36" spans="1:8" x14ac:dyDescent="0.35">
      <c r="A36" s="142"/>
      <c r="B36" s="369"/>
      <c r="C36" s="368"/>
      <c r="D36" s="368"/>
      <c r="E36" s="368"/>
      <c r="F36" s="368"/>
      <c r="G36" s="370"/>
      <c r="H36" s="142"/>
    </row>
  </sheetData>
  <mergeCells count="15">
    <mergeCell ref="D35:F35"/>
    <mergeCell ref="D34:F34"/>
    <mergeCell ref="D32:F32"/>
    <mergeCell ref="C31:F31"/>
    <mergeCell ref="D33:F33"/>
    <mergeCell ref="B7:G7"/>
    <mergeCell ref="B8:G8"/>
    <mergeCell ref="C22:D22"/>
    <mergeCell ref="B10:D10"/>
    <mergeCell ref="B12:D12"/>
    <mergeCell ref="B11:D11"/>
    <mergeCell ref="E11:F11"/>
    <mergeCell ref="E12:F12"/>
    <mergeCell ref="E10:F10"/>
    <mergeCell ref="E14:F14"/>
  </mergeCells>
  <phoneticPr fontId="29" type="noConversion"/>
  <printOptions horizontalCentered="1"/>
  <pageMargins left="0.19685039370078741" right="0.19685039370078741" top="0.78740157480314965" bottom="0.1968503937007874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T220"/>
  <sheetViews>
    <sheetView showGridLines="0" view="pageBreakPreview" zoomScale="55" zoomScaleSheetLayoutView="55" workbookViewId="0">
      <pane ySplit="9" topLeftCell="A10" activePane="bottomLeft" state="frozen"/>
      <selection activeCell="B7" sqref="B7:G7"/>
      <selection pane="bottomLeft" activeCell="R17" sqref="R17"/>
    </sheetView>
  </sheetViews>
  <sheetFormatPr defaultColWidth="9.140625" defaultRowHeight="15" x14ac:dyDescent="0.25"/>
  <cols>
    <col min="1" max="1" width="7.42578125" style="100" bestFit="1" customWidth="1"/>
    <col min="2" max="2" width="9" style="100" bestFit="1" customWidth="1"/>
    <col min="3" max="3" width="9.85546875" style="100" bestFit="1" customWidth="1"/>
    <col min="4" max="4" width="46.42578125" style="35" customWidth="1"/>
    <col min="5" max="5" width="8" style="35" customWidth="1"/>
    <col min="6" max="6" width="12.7109375" style="82" customWidth="1"/>
    <col min="7" max="7" width="12.85546875" style="35" customWidth="1"/>
    <col min="8" max="8" width="13.5703125" style="35" customWidth="1"/>
    <col min="9" max="9" width="12.85546875" style="35" customWidth="1"/>
    <col min="10" max="10" width="12.140625" style="35" customWidth="1"/>
    <col min="11" max="12" width="12.42578125" style="35" customWidth="1"/>
    <col min="13" max="13" width="8.5703125" style="35" customWidth="1"/>
    <col min="14" max="14" width="13.85546875" style="35" customWidth="1"/>
    <col min="15" max="15" width="9" style="35" bestFit="1" customWidth="1"/>
    <col min="16" max="16" width="11.140625" style="35" customWidth="1"/>
    <col min="17" max="17" width="9.42578125" style="35" customWidth="1"/>
    <col min="18" max="18" width="20.42578125" style="35" customWidth="1"/>
    <col min="19" max="19" width="14.85546875" style="35" customWidth="1"/>
    <col min="20" max="20" width="16" style="35" customWidth="1"/>
    <col min="21" max="21" width="14.140625" style="35" bestFit="1" customWidth="1"/>
    <col min="22" max="16384" width="9.140625" style="35"/>
  </cols>
  <sheetData>
    <row r="2" spans="1:19" s="28" customFormat="1" ht="13.5" customHeight="1" x14ac:dyDescent="0.25">
      <c r="A2" s="656"/>
      <c r="B2" s="657"/>
      <c r="C2" s="657"/>
      <c r="D2" s="657"/>
      <c r="E2" s="657"/>
      <c r="F2" s="657"/>
      <c r="G2" s="657"/>
      <c r="H2" s="658"/>
      <c r="I2" s="494"/>
      <c r="J2" s="228"/>
      <c r="K2" s="228"/>
      <c r="L2" s="228"/>
      <c r="M2" s="228"/>
      <c r="N2" s="228"/>
      <c r="O2" s="228"/>
      <c r="P2" s="229"/>
      <c r="Q2" s="353"/>
    </row>
    <row r="3" spans="1:19" s="28" customFormat="1" x14ac:dyDescent="0.25">
      <c r="A3" s="207"/>
      <c r="B3" s="387"/>
      <c r="C3" s="387" t="s">
        <v>4</v>
      </c>
      <c r="D3" s="59" t="str">
        <f>'Dados Gerais'!$E$10</f>
        <v>HCPA - CPE - Projeto Laboratórios de Pesquisa</v>
      </c>
      <c r="E3" s="59"/>
      <c r="F3" s="80"/>
      <c r="G3" s="59"/>
      <c r="H3" s="220"/>
      <c r="I3" s="396"/>
      <c r="J3" s="26"/>
      <c r="K3" s="26"/>
      <c r="L3" s="26"/>
      <c r="M3" s="26"/>
      <c r="N3" s="26"/>
      <c r="O3" s="26"/>
      <c r="P3" s="27"/>
      <c r="Q3" s="26"/>
    </row>
    <row r="4" spans="1:19" s="28" customFormat="1" x14ac:dyDescent="0.25">
      <c r="A4" s="207"/>
      <c r="B4" s="387"/>
      <c r="C4" s="387" t="s">
        <v>99</v>
      </c>
      <c r="D4" s="59" t="str">
        <f>'Dados Gerais'!$E$11</f>
        <v>CPE - 2º Pavimento</v>
      </c>
      <c r="E4" s="59"/>
      <c r="F4" s="81"/>
      <c r="G4" s="77"/>
      <c r="H4" s="398"/>
      <c r="I4" s="396"/>
      <c r="J4" s="26"/>
      <c r="K4" s="26"/>
      <c r="L4" s="26"/>
      <c r="M4" s="26"/>
      <c r="N4" s="26"/>
      <c r="O4" s="26"/>
      <c r="P4" s="27"/>
      <c r="Q4" s="26"/>
    </row>
    <row r="5" spans="1:19" s="30" customFormat="1" x14ac:dyDescent="0.25">
      <c r="A5" s="313"/>
      <c r="B5" s="388"/>
      <c r="C5" s="388" t="s">
        <v>67</v>
      </c>
      <c r="D5" s="230" t="str">
        <f>'Dados Gerais'!$E$12</f>
        <v>Porto Alegre / RS</v>
      </c>
      <c r="E5" s="231"/>
      <c r="F5" s="232"/>
      <c r="G5" s="231"/>
      <c r="H5" s="234"/>
      <c r="I5" s="397"/>
      <c r="J5" s="76"/>
      <c r="K5" s="58" t="s">
        <v>12</v>
      </c>
      <c r="L5" s="31" t="str">
        <f>'Dados Gerais'!E29</f>
        <v>R03</v>
      </c>
      <c r="M5" s="31"/>
      <c r="N5" s="31"/>
      <c r="O5" s="31"/>
      <c r="P5" s="62"/>
      <c r="Q5" s="76"/>
    </row>
    <row r="6" spans="1:19" s="32" customFormat="1" x14ac:dyDescent="0.25">
      <c r="A6" s="497"/>
      <c r="B6" s="498"/>
      <c r="C6" s="498"/>
      <c r="D6" s="499" t="str">
        <f>'Dados Gerais'!$E$22</f>
        <v>-</v>
      </c>
      <c r="E6" s="500" t="s">
        <v>13</v>
      </c>
      <c r="F6" s="501">
        <f>+Resumo!C7</f>
        <v>0.25</v>
      </c>
      <c r="G6" s="495" t="s">
        <v>62</v>
      </c>
      <c r="H6" s="502">
        <f>'Dados Gerais'!$E$18</f>
        <v>3</v>
      </c>
      <c r="I6" s="503"/>
      <c r="J6" s="504"/>
      <c r="K6" s="505" t="s">
        <v>11</v>
      </c>
      <c r="L6" s="496">
        <f>'Dados Gerais'!E26</f>
        <v>44426</v>
      </c>
      <c r="M6" s="496"/>
      <c r="N6" s="496"/>
      <c r="O6" s="496"/>
      <c r="P6" s="506"/>
      <c r="Q6" s="103"/>
    </row>
    <row r="7" spans="1:19" s="28" customFormat="1" ht="17.25" x14ac:dyDescent="0.35">
      <c r="A7" s="651" t="s">
        <v>963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3"/>
      <c r="Q7" s="226"/>
      <c r="R7" s="26"/>
    </row>
    <row r="8" spans="1:19" s="33" customFormat="1" ht="15" customHeight="1" x14ac:dyDescent="0.25">
      <c r="A8" s="684" t="s">
        <v>0</v>
      </c>
      <c r="B8" s="667" t="s">
        <v>44</v>
      </c>
      <c r="C8" s="667" t="s">
        <v>114</v>
      </c>
      <c r="D8" s="670" t="s">
        <v>1</v>
      </c>
      <c r="E8" s="670" t="s">
        <v>3</v>
      </c>
      <c r="F8" s="667" t="s">
        <v>2</v>
      </c>
      <c r="G8" s="688" t="s">
        <v>55</v>
      </c>
      <c r="H8" s="689"/>
      <c r="I8" s="686" t="s">
        <v>10</v>
      </c>
      <c r="J8" s="663" t="s">
        <v>54</v>
      </c>
      <c r="K8" s="664"/>
      <c r="L8" s="670" t="s">
        <v>84</v>
      </c>
      <c r="M8" s="670" t="s">
        <v>121</v>
      </c>
      <c r="N8" s="670" t="s">
        <v>120</v>
      </c>
      <c r="O8" s="670" t="s">
        <v>964</v>
      </c>
      <c r="P8" s="682" t="s">
        <v>965</v>
      </c>
      <c r="Q8" s="225"/>
      <c r="R8" s="668"/>
      <c r="S8" s="224"/>
    </row>
    <row r="9" spans="1:19" s="28" customFormat="1" ht="33" customHeight="1" x14ac:dyDescent="0.25">
      <c r="A9" s="685"/>
      <c r="B9" s="672"/>
      <c r="C9" s="672"/>
      <c r="D9" s="671"/>
      <c r="E9" s="671"/>
      <c r="F9" s="672"/>
      <c r="G9" s="236" t="s">
        <v>8</v>
      </c>
      <c r="H9" s="236" t="s">
        <v>9</v>
      </c>
      <c r="I9" s="687"/>
      <c r="J9" s="236" t="s">
        <v>8</v>
      </c>
      <c r="K9" s="236" t="s">
        <v>9</v>
      </c>
      <c r="L9" s="671"/>
      <c r="M9" s="671"/>
      <c r="N9" s="671"/>
      <c r="O9" s="671"/>
      <c r="P9" s="683"/>
      <c r="Q9" s="225"/>
      <c r="R9" s="669"/>
      <c r="S9" s="26"/>
    </row>
    <row r="10" spans="1:19" s="72" customFormat="1" ht="30" x14ac:dyDescent="0.25">
      <c r="A10" s="580">
        <v>1</v>
      </c>
      <c r="B10" s="597" t="s">
        <v>115</v>
      </c>
      <c r="C10" s="597" t="s">
        <v>366</v>
      </c>
      <c r="D10" s="581" t="s">
        <v>506</v>
      </c>
      <c r="E10" s="598" t="s">
        <v>505</v>
      </c>
      <c r="F10" s="599">
        <v>7300</v>
      </c>
      <c r="G10" s="582">
        <v>13.18</v>
      </c>
      <c r="H10" s="582">
        <v>19.62</v>
      </c>
      <c r="I10" s="582">
        <f t="shared" ref="I10:I73" si="0">+ROUND(G10+H10,2)</f>
        <v>32.799999999999997</v>
      </c>
      <c r="J10" s="582">
        <f t="shared" ref="J10:J73" si="1">ROUND(G10*F10,2)</f>
        <v>96214</v>
      </c>
      <c r="K10" s="582">
        <f t="shared" ref="K10:K73" si="2">ROUND(H10*F10,2)</f>
        <v>143226</v>
      </c>
      <c r="L10" s="582">
        <f t="shared" ref="L10:L73" si="3">ROUND(I10*F10,2)</f>
        <v>239440</v>
      </c>
      <c r="M10" s="600">
        <v>0.25</v>
      </c>
      <c r="N10" s="583">
        <f t="shared" ref="N10:N73" si="4">ROUND(L10*(1+M10),2)</f>
        <v>299300</v>
      </c>
      <c r="O10" s="584">
        <f>N10/$N$219</f>
        <v>0.22729303645749174</v>
      </c>
      <c r="P10" s="601">
        <f>O10</f>
        <v>0.22729303645749174</v>
      </c>
      <c r="Q10" s="104"/>
      <c r="R10" s="124"/>
      <c r="S10" s="358"/>
    </row>
    <row r="11" spans="1:19" s="72" customFormat="1" x14ac:dyDescent="0.25">
      <c r="A11" s="580">
        <v>2</v>
      </c>
      <c r="B11" s="585" t="s">
        <v>115</v>
      </c>
      <c r="C11" s="585" t="s">
        <v>417</v>
      </c>
      <c r="D11" s="581" t="s">
        <v>422</v>
      </c>
      <c r="E11" s="586" t="s">
        <v>61</v>
      </c>
      <c r="F11" s="599">
        <v>318.81</v>
      </c>
      <c r="G11" s="582">
        <v>25.26</v>
      </c>
      <c r="H11" s="582">
        <v>269.19</v>
      </c>
      <c r="I11" s="582">
        <f t="shared" si="0"/>
        <v>294.45</v>
      </c>
      <c r="J11" s="582">
        <f t="shared" si="1"/>
        <v>8053.14</v>
      </c>
      <c r="K11" s="582">
        <f t="shared" si="2"/>
        <v>85820.46</v>
      </c>
      <c r="L11" s="582">
        <f t="shared" si="3"/>
        <v>93873.600000000006</v>
      </c>
      <c r="M11" s="600">
        <v>0.25</v>
      </c>
      <c r="N11" s="583">
        <f t="shared" si="4"/>
        <v>117342</v>
      </c>
      <c r="O11" s="584">
        <f t="shared" ref="O11:O74" si="5">N11/$N$219</f>
        <v>8.9111324704293338E-2</v>
      </c>
      <c r="P11" s="601">
        <f>P10+O11</f>
        <v>0.31640436116178505</v>
      </c>
      <c r="Q11" s="104"/>
      <c r="R11" s="124"/>
      <c r="S11" s="358"/>
    </row>
    <row r="12" spans="1:19" s="72" customFormat="1" ht="30" x14ac:dyDescent="0.25">
      <c r="A12" s="580">
        <v>3</v>
      </c>
      <c r="B12" s="585" t="s">
        <v>94</v>
      </c>
      <c r="C12" s="585">
        <v>91928</v>
      </c>
      <c r="D12" s="587" t="s">
        <v>430</v>
      </c>
      <c r="E12" s="586" t="s">
        <v>58</v>
      </c>
      <c r="F12" s="599">
        <v>9740</v>
      </c>
      <c r="G12" s="582">
        <v>1.23</v>
      </c>
      <c r="H12" s="582">
        <v>5.45</v>
      </c>
      <c r="I12" s="582">
        <f t="shared" si="0"/>
        <v>6.68</v>
      </c>
      <c r="J12" s="582">
        <f t="shared" si="1"/>
        <v>11980.2</v>
      </c>
      <c r="K12" s="582">
        <f t="shared" si="2"/>
        <v>53083</v>
      </c>
      <c r="L12" s="582">
        <f t="shared" si="3"/>
        <v>65063.199999999997</v>
      </c>
      <c r="M12" s="600">
        <v>0.25</v>
      </c>
      <c r="N12" s="583">
        <f t="shared" si="4"/>
        <v>81329</v>
      </c>
      <c r="O12" s="584">
        <f t="shared" si="5"/>
        <v>6.1762497033248737E-2</v>
      </c>
      <c r="P12" s="601">
        <f t="shared" ref="P12:P75" si="6">P11+O12</f>
        <v>0.37816685819503382</v>
      </c>
      <c r="Q12" s="104"/>
      <c r="R12" s="124"/>
      <c r="S12" s="358"/>
    </row>
    <row r="13" spans="1:19" s="72" customFormat="1" ht="105" x14ac:dyDescent="0.25">
      <c r="A13" s="580">
        <v>4</v>
      </c>
      <c r="B13" s="585" t="s">
        <v>115</v>
      </c>
      <c r="C13" s="585" t="s">
        <v>625</v>
      </c>
      <c r="D13" s="587" t="s">
        <v>898</v>
      </c>
      <c r="E13" s="586" t="s">
        <v>46</v>
      </c>
      <c r="F13" s="599">
        <v>6</v>
      </c>
      <c r="G13" s="582">
        <v>318.24</v>
      </c>
      <c r="H13" s="582">
        <v>9439.5</v>
      </c>
      <c r="I13" s="582">
        <f t="shared" si="0"/>
        <v>9757.74</v>
      </c>
      <c r="J13" s="582">
        <f t="shared" si="1"/>
        <v>1909.44</v>
      </c>
      <c r="K13" s="582">
        <f t="shared" si="2"/>
        <v>56637</v>
      </c>
      <c r="L13" s="582">
        <f t="shared" si="3"/>
        <v>58546.44</v>
      </c>
      <c r="M13" s="600">
        <v>0.25</v>
      </c>
      <c r="N13" s="583">
        <f t="shared" si="4"/>
        <v>73183.05</v>
      </c>
      <c r="O13" s="584">
        <f t="shared" si="5"/>
        <v>5.5576336958638298E-2</v>
      </c>
      <c r="P13" s="601">
        <f t="shared" si="6"/>
        <v>0.4337431951536721</v>
      </c>
      <c r="Q13" s="104"/>
      <c r="R13" s="124"/>
      <c r="S13" s="358"/>
    </row>
    <row r="14" spans="1:19" s="72" customFormat="1" ht="60" x14ac:dyDescent="0.25">
      <c r="A14" s="580">
        <v>5</v>
      </c>
      <c r="B14" s="597" t="s">
        <v>115</v>
      </c>
      <c r="C14" s="597" t="s">
        <v>502</v>
      </c>
      <c r="D14" s="581" t="s">
        <v>852</v>
      </c>
      <c r="E14" s="598" t="s">
        <v>46</v>
      </c>
      <c r="F14" s="599">
        <v>2</v>
      </c>
      <c r="G14" s="582">
        <v>351.36</v>
      </c>
      <c r="H14" s="582">
        <v>16239.5</v>
      </c>
      <c r="I14" s="582">
        <f t="shared" si="0"/>
        <v>16590.86</v>
      </c>
      <c r="J14" s="582">
        <f t="shared" si="1"/>
        <v>702.72</v>
      </c>
      <c r="K14" s="582">
        <f t="shared" si="2"/>
        <v>32479</v>
      </c>
      <c r="L14" s="582">
        <f t="shared" si="3"/>
        <v>33181.72</v>
      </c>
      <c r="M14" s="600">
        <v>0.25</v>
      </c>
      <c r="N14" s="583">
        <f t="shared" si="4"/>
        <v>41477.15</v>
      </c>
      <c r="O14" s="584">
        <f t="shared" si="5"/>
        <v>3.1498387461085381E-2</v>
      </c>
      <c r="P14" s="601">
        <f t="shared" si="6"/>
        <v>0.46524158261475745</v>
      </c>
      <c r="Q14" s="104"/>
      <c r="R14" s="124"/>
      <c r="S14" s="358"/>
    </row>
    <row r="15" spans="1:19" s="72" customFormat="1" ht="60" x14ac:dyDescent="0.25">
      <c r="A15" s="580">
        <v>6</v>
      </c>
      <c r="B15" s="597" t="s">
        <v>115</v>
      </c>
      <c r="C15" s="597" t="s">
        <v>404</v>
      </c>
      <c r="D15" s="581" t="s">
        <v>953</v>
      </c>
      <c r="E15" s="598" t="s">
        <v>61</v>
      </c>
      <c r="F15" s="599">
        <v>34.502000000000002</v>
      </c>
      <c r="G15" s="582">
        <v>0</v>
      </c>
      <c r="H15" s="582">
        <v>917.5</v>
      </c>
      <c r="I15" s="582">
        <f t="shared" si="0"/>
        <v>917.5</v>
      </c>
      <c r="J15" s="582">
        <f t="shared" si="1"/>
        <v>0</v>
      </c>
      <c r="K15" s="582">
        <f t="shared" si="2"/>
        <v>31655.59</v>
      </c>
      <c r="L15" s="582">
        <f t="shared" si="3"/>
        <v>31655.59</v>
      </c>
      <c r="M15" s="600">
        <v>0.25</v>
      </c>
      <c r="N15" s="583">
        <f t="shared" si="4"/>
        <v>39569.49</v>
      </c>
      <c r="O15" s="584">
        <f t="shared" si="5"/>
        <v>3.0049681032991497E-2</v>
      </c>
      <c r="P15" s="601">
        <f t="shared" si="6"/>
        <v>0.49529126364774895</v>
      </c>
      <c r="Q15" s="104"/>
      <c r="R15" s="124"/>
      <c r="S15" s="358"/>
    </row>
    <row r="16" spans="1:19" s="72" customFormat="1" ht="60" x14ac:dyDescent="0.25">
      <c r="A16" s="580">
        <v>7</v>
      </c>
      <c r="B16" s="585" t="s">
        <v>94</v>
      </c>
      <c r="C16" s="585">
        <v>96359</v>
      </c>
      <c r="D16" s="581" t="s">
        <v>387</v>
      </c>
      <c r="E16" s="598" t="s">
        <v>61</v>
      </c>
      <c r="F16" s="599">
        <v>295.26</v>
      </c>
      <c r="G16" s="582">
        <v>12.72</v>
      </c>
      <c r="H16" s="582">
        <v>82.65</v>
      </c>
      <c r="I16" s="582">
        <f t="shared" si="0"/>
        <v>95.37</v>
      </c>
      <c r="J16" s="582">
        <f t="shared" si="1"/>
        <v>3755.71</v>
      </c>
      <c r="K16" s="582">
        <f t="shared" si="2"/>
        <v>24403.24</v>
      </c>
      <c r="L16" s="582">
        <f t="shared" si="3"/>
        <v>28158.95</v>
      </c>
      <c r="M16" s="600">
        <v>0.25</v>
      </c>
      <c r="N16" s="583">
        <f t="shared" si="4"/>
        <v>35198.69</v>
      </c>
      <c r="O16" s="584">
        <f t="shared" si="5"/>
        <v>2.6730428096979456E-2</v>
      </c>
      <c r="P16" s="601">
        <f t="shared" si="6"/>
        <v>0.52202169174472846</v>
      </c>
      <c r="Q16" s="104"/>
      <c r="R16" s="124"/>
      <c r="S16" s="358"/>
    </row>
    <row r="17" spans="1:20" s="72" customFormat="1" ht="105" x14ac:dyDescent="0.25">
      <c r="A17" s="580">
        <v>8</v>
      </c>
      <c r="B17" s="585" t="s">
        <v>115</v>
      </c>
      <c r="C17" s="585" t="s">
        <v>770</v>
      </c>
      <c r="D17" s="587" t="s">
        <v>901</v>
      </c>
      <c r="E17" s="586" t="s">
        <v>46</v>
      </c>
      <c r="F17" s="599">
        <v>3</v>
      </c>
      <c r="G17" s="582">
        <v>318.24</v>
      </c>
      <c r="H17" s="582">
        <v>9019.5</v>
      </c>
      <c r="I17" s="582">
        <f t="shared" si="0"/>
        <v>9337.74</v>
      </c>
      <c r="J17" s="582">
        <f t="shared" si="1"/>
        <v>954.72</v>
      </c>
      <c r="K17" s="582">
        <f t="shared" si="2"/>
        <v>27058.5</v>
      </c>
      <c r="L17" s="582">
        <f t="shared" si="3"/>
        <v>28013.22</v>
      </c>
      <c r="M17" s="600">
        <v>0.25</v>
      </c>
      <c r="N17" s="583">
        <f t="shared" si="4"/>
        <v>35016.53</v>
      </c>
      <c r="O17" s="584">
        <f t="shared" si="5"/>
        <v>2.659209298331057E-2</v>
      </c>
      <c r="P17" s="601">
        <f t="shared" si="6"/>
        <v>0.54861378472803901</v>
      </c>
      <c r="Q17" s="104"/>
      <c r="R17" s="120"/>
      <c r="S17" s="358"/>
    </row>
    <row r="18" spans="1:20" s="72" customFormat="1" ht="90" x14ac:dyDescent="0.25">
      <c r="A18" s="580">
        <v>9</v>
      </c>
      <c r="B18" s="597" t="s">
        <v>115</v>
      </c>
      <c r="C18" s="597" t="s">
        <v>367</v>
      </c>
      <c r="D18" s="581" t="s">
        <v>508</v>
      </c>
      <c r="E18" s="598" t="s">
        <v>46</v>
      </c>
      <c r="F18" s="599">
        <v>76</v>
      </c>
      <c r="G18" s="582">
        <v>131.76</v>
      </c>
      <c r="H18" s="582">
        <v>216.45</v>
      </c>
      <c r="I18" s="582">
        <f t="shared" si="0"/>
        <v>348.21</v>
      </c>
      <c r="J18" s="582">
        <f t="shared" si="1"/>
        <v>10013.76</v>
      </c>
      <c r="K18" s="582">
        <f t="shared" si="2"/>
        <v>16450.2</v>
      </c>
      <c r="L18" s="582">
        <f t="shared" si="3"/>
        <v>26463.96</v>
      </c>
      <c r="M18" s="600">
        <v>0.25</v>
      </c>
      <c r="N18" s="583">
        <f t="shared" si="4"/>
        <v>33079.949999999997</v>
      </c>
      <c r="O18" s="584">
        <f t="shared" si="5"/>
        <v>2.5121424261149362E-2</v>
      </c>
      <c r="P18" s="601">
        <f t="shared" si="6"/>
        <v>0.57373520898918839</v>
      </c>
      <c r="Q18" s="104"/>
      <c r="R18" s="120"/>
      <c r="S18" s="358"/>
    </row>
    <row r="19" spans="1:20" s="72" customFormat="1" ht="30" x14ac:dyDescent="0.25">
      <c r="A19" s="580">
        <v>10</v>
      </c>
      <c r="B19" s="585" t="s">
        <v>94</v>
      </c>
      <c r="C19" s="585">
        <v>96114</v>
      </c>
      <c r="D19" s="581" t="s">
        <v>407</v>
      </c>
      <c r="E19" s="586" t="s">
        <v>61</v>
      </c>
      <c r="F19" s="599">
        <v>352.63</v>
      </c>
      <c r="G19" s="582">
        <v>10.85</v>
      </c>
      <c r="H19" s="582">
        <v>56.17</v>
      </c>
      <c r="I19" s="582">
        <f t="shared" si="0"/>
        <v>67.02</v>
      </c>
      <c r="J19" s="582">
        <f t="shared" si="1"/>
        <v>3826.04</v>
      </c>
      <c r="K19" s="582">
        <f t="shared" si="2"/>
        <v>19807.23</v>
      </c>
      <c r="L19" s="582">
        <f t="shared" si="3"/>
        <v>23633.26</v>
      </c>
      <c r="M19" s="600">
        <v>0.25</v>
      </c>
      <c r="N19" s="583">
        <f t="shared" si="4"/>
        <v>29541.58</v>
      </c>
      <c r="O19" s="584">
        <f t="shared" si="5"/>
        <v>2.2434331506688641E-2</v>
      </c>
      <c r="P19" s="601">
        <f t="shared" si="6"/>
        <v>0.596169540495877</v>
      </c>
      <c r="Q19" s="104"/>
      <c r="R19" s="120"/>
      <c r="S19" s="358"/>
    </row>
    <row r="20" spans="1:20" s="72" customFormat="1" ht="60" x14ac:dyDescent="0.25">
      <c r="A20" s="580">
        <v>11</v>
      </c>
      <c r="B20" s="597" t="s">
        <v>115</v>
      </c>
      <c r="C20" s="597" t="s">
        <v>492</v>
      </c>
      <c r="D20" s="581" t="s">
        <v>512</v>
      </c>
      <c r="E20" s="598" t="s">
        <v>46</v>
      </c>
      <c r="F20" s="599">
        <v>29</v>
      </c>
      <c r="G20" s="582">
        <v>65.89</v>
      </c>
      <c r="H20" s="582">
        <v>573.03</v>
      </c>
      <c r="I20" s="582">
        <f t="shared" si="0"/>
        <v>638.91999999999996</v>
      </c>
      <c r="J20" s="582">
        <f t="shared" si="1"/>
        <v>1910.81</v>
      </c>
      <c r="K20" s="582">
        <f t="shared" si="2"/>
        <v>16617.87</v>
      </c>
      <c r="L20" s="582">
        <f t="shared" si="3"/>
        <v>18528.68</v>
      </c>
      <c r="M20" s="600">
        <v>0.25</v>
      </c>
      <c r="N20" s="583">
        <f t="shared" si="4"/>
        <v>23160.85</v>
      </c>
      <c r="O20" s="584">
        <f t="shared" si="5"/>
        <v>1.7588706727151678E-2</v>
      </c>
      <c r="P20" s="601">
        <f t="shared" si="6"/>
        <v>0.61375824722302863</v>
      </c>
      <c r="Q20" s="104"/>
      <c r="R20" s="120"/>
      <c r="S20" s="358"/>
    </row>
    <row r="21" spans="1:20" s="72" customFormat="1" ht="45" x14ac:dyDescent="0.25">
      <c r="A21" s="580">
        <v>12</v>
      </c>
      <c r="B21" s="585" t="s">
        <v>115</v>
      </c>
      <c r="C21" s="585" t="s">
        <v>787</v>
      </c>
      <c r="D21" s="587" t="s">
        <v>790</v>
      </c>
      <c r="E21" s="586" t="s">
        <v>58</v>
      </c>
      <c r="F21" s="599">
        <v>118</v>
      </c>
      <c r="G21" s="582">
        <v>23.87</v>
      </c>
      <c r="H21" s="582">
        <v>122.09</v>
      </c>
      <c r="I21" s="582">
        <f t="shared" si="0"/>
        <v>145.96</v>
      </c>
      <c r="J21" s="582">
        <f t="shared" si="1"/>
        <v>2816.66</v>
      </c>
      <c r="K21" s="582">
        <f t="shared" si="2"/>
        <v>14406.62</v>
      </c>
      <c r="L21" s="582">
        <f t="shared" si="3"/>
        <v>17223.28</v>
      </c>
      <c r="M21" s="600">
        <v>0.25</v>
      </c>
      <c r="N21" s="583">
        <f t="shared" si="4"/>
        <v>21529.1</v>
      </c>
      <c r="O21" s="584">
        <f t="shared" si="5"/>
        <v>1.6349530608743685E-2</v>
      </c>
      <c r="P21" s="601">
        <f t="shared" si="6"/>
        <v>0.6301077778317723</v>
      </c>
      <c r="Q21" s="104"/>
      <c r="R21" s="120"/>
      <c r="S21" s="358"/>
    </row>
    <row r="22" spans="1:20" s="72" customFormat="1" ht="45" x14ac:dyDescent="0.25">
      <c r="A22" s="580">
        <v>13</v>
      </c>
      <c r="B22" s="597" t="s">
        <v>115</v>
      </c>
      <c r="C22" s="597" t="s">
        <v>491</v>
      </c>
      <c r="D22" s="581" t="s">
        <v>511</v>
      </c>
      <c r="E22" s="598" t="s">
        <v>46</v>
      </c>
      <c r="F22" s="599">
        <v>34</v>
      </c>
      <c r="G22" s="582">
        <v>30.74</v>
      </c>
      <c r="H22" s="582">
        <v>412.59</v>
      </c>
      <c r="I22" s="582">
        <f t="shared" si="0"/>
        <v>443.33</v>
      </c>
      <c r="J22" s="582">
        <f t="shared" si="1"/>
        <v>1045.1600000000001</v>
      </c>
      <c r="K22" s="582">
        <f t="shared" si="2"/>
        <v>14028.06</v>
      </c>
      <c r="L22" s="582">
        <f t="shared" si="3"/>
        <v>15073.22</v>
      </c>
      <c r="M22" s="600">
        <v>0.25</v>
      </c>
      <c r="N22" s="583">
        <f t="shared" si="4"/>
        <v>18841.53</v>
      </c>
      <c r="O22" s="584">
        <f t="shared" si="5"/>
        <v>1.4308548497176493E-2</v>
      </c>
      <c r="P22" s="601">
        <f t="shared" si="6"/>
        <v>0.64441632632894874</v>
      </c>
      <c r="Q22" s="104"/>
      <c r="R22" s="335"/>
      <c r="S22" s="358"/>
      <c r="T22" s="358"/>
    </row>
    <row r="23" spans="1:20" s="72" customFormat="1" ht="30" x14ac:dyDescent="0.25">
      <c r="A23" s="580">
        <v>14</v>
      </c>
      <c r="B23" s="585" t="s">
        <v>115</v>
      </c>
      <c r="C23" s="585" t="s">
        <v>328</v>
      </c>
      <c r="D23" s="581" t="s">
        <v>421</v>
      </c>
      <c r="E23" s="586" t="s">
        <v>61</v>
      </c>
      <c r="F23" s="599">
        <v>318.81</v>
      </c>
      <c r="G23" s="582">
        <v>11.34</v>
      </c>
      <c r="H23" s="582">
        <v>33.11</v>
      </c>
      <c r="I23" s="582">
        <f t="shared" si="0"/>
        <v>44.45</v>
      </c>
      <c r="J23" s="582">
        <f t="shared" si="1"/>
        <v>3615.31</v>
      </c>
      <c r="K23" s="582">
        <f t="shared" si="2"/>
        <v>10555.8</v>
      </c>
      <c r="L23" s="582">
        <f t="shared" si="3"/>
        <v>14171.1</v>
      </c>
      <c r="M23" s="600">
        <v>0.25</v>
      </c>
      <c r="N23" s="583">
        <f t="shared" si="4"/>
        <v>17713.88</v>
      </c>
      <c r="O23" s="584">
        <f t="shared" si="5"/>
        <v>1.3452193694098344E-2</v>
      </c>
      <c r="P23" s="601">
        <f t="shared" si="6"/>
        <v>0.65786852002304708</v>
      </c>
      <c r="Q23" s="104"/>
      <c r="R23" s="335"/>
      <c r="S23" s="358"/>
      <c r="T23" s="358"/>
    </row>
    <row r="24" spans="1:20" s="72" customFormat="1" ht="30" x14ac:dyDescent="0.25">
      <c r="A24" s="580">
        <v>15</v>
      </c>
      <c r="B24" s="585" t="s">
        <v>94</v>
      </c>
      <c r="C24" s="585">
        <v>95802</v>
      </c>
      <c r="D24" s="587" t="s">
        <v>435</v>
      </c>
      <c r="E24" s="586" t="s">
        <v>46</v>
      </c>
      <c r="F24" s="599">
        <v>352</v>
      </c>
      <c r="G24" s="582">
        <v>16.760000000000002</v>
      </c>
      <c r="H24" s="582">
        <v>22.91</v>
      </c>
      <c r="I24" s="582">
        <f t="shared" si="0"/>
        <v>39.67</v>
      </c>
      <c r="J24" s="582">
        <f t="shared" si="1"/>
        <v>5899.52</v>
      </c>
      <c r="K24" s="582">
        <f t="shared" si="2"/>
        <v>8064.32</v>
      </c>
      <c r="L24" s="582">
        <f t="shared" si="3"/>
        <v>13963.84</v>
      </c>
      <c r="M24" s="600">
        <v>0.25</v>
      </c>
      <c r="N24" s="583">
        <f t="shared" si="4"/>
        <v>17454.8</v>
      </c>
      <c r="O24" s="584">
        <f t="shared" si="5"/>
        <v>1.3255444346001427E-2</v>
      </c>
      <c r="P24" s="601">
        <f t="shared" si="6"/>
        <v>0.67112396436904853</v>
      </c>
      <c r="Q24" s="104"/>
      <c r="R24" s="335"/>
      <c r="S24" s="358"/>
      <c r="T24" s="358"/>
    </row>
    <row r="25" spans="1:20" s="72" customFormat="1" ht="30" x14ac:dyDescent="0.25">
      <c r="A25" s="580">
        <v>16</v>
      </c>
      <c r="B25" s="585" t="s">
        <v>94</v>
      </c>
      <c r="C25" s="585">
        <v>88489</v>
      </c>
      <c r="D25" s="581" t="s">
        <v>119</v>
      </c>
      <c r="E25" s="586" t="s">
        <v>61</v>
      </c>
      <c r="F25" s="599">
        <v>991.72</v>
      </c>
      <c r="G25" s="582">
        <v>3.93</v>
      </c>
      <c r="H25" s="582">
        <v>9.77</v>
      </c>
      <c r="I25" s="582">
        <f t="shared" si="0"/>
        <v>13.7</v>
      </c>
      <c r="J25" s="582">
        <f t="shared" si="1"/>
        <v>3897.46</v>
      </c>
      <c r="K25" s="582">
        <f t="shared" si="2"/>
        <v>9689.1</v>
      </c>
      <c r="L25" s="582">
        <f t="shared" si="3"/>
        <v>13586.56</v>
      </c>
      <c r="M25" s="600">
        <v>0.25</v>
      </c>
      <c r="N25" s="583">
        <f t="shared" si="4"/>
        <v>16983.2</v>
      </c>
      <c r="O25" s="584">
        <f t="shared" si="5"/>
        <v>1.2897304031957482E-2</v>
      </c>
      <c r="P25" s="601">
        <f t="shared" si="6"/>
        <v>0.68402126840100597</v>
      </c>
      <c r="Q25" s="104"/>
      <c r="R25" s="335"/>
      <c r="S25" s="358"/>
      <c r="T25" s="358"/>
    </row>
    <row r="26" spans="1:20" s="72" customFormat="1" x14ac:dyDescent="0.25">
      <c r="A26" s="580">
        <v>17</v>
      </c>
      <c r="B26" s="585" t="s">
        <v>94</v>
      </c>
      <c r="C26" s="585">
        <v>95746</v>
      </c>
      <c r="D26" s="587" t="s">
        <v>789</v>
      </c>
      <c r="E26" s="586" t="s">
        <v>58</v>
      </c>
      <c r="F26" s="599">
        <v>434</v>
      </c>
      <c r="G26" s="582">
        <v>5.89</v>
      </c>
      <c r="H26" s="582">
        <v>24.4</v>
      </c>
      <c r="I26" s="582">
        <f t="shared" si="0"/>
        <v>30.29</v>
      </c>
      <c r="J26" s="582">
        <f t="shared" si="1"/>
        <v>2556.2600000000002</v>
      </c>
      <c r="K26" s="582">
        <f t="shared" si="2"/>
        <v>10589.6</v>
      </c>
      <c r="L26" s="582">
        <f t="shared" si="3"/>
        <v>13145.86</v>
      </c>
      <c r="M26" s="600">
        <v>0.25</v>
      </c>
      <c r="N26" s="583">
        <f t="shared" si="4"/>
        <v>16432.330000000002</v>
      </c>
      <c r="O26" s="584">
        <f t="shared" si="5"/>
        <v>1.2478964857238676E-2</v>
      </c>
      <c r="P26" s="601">
        <f t="shared" si="6"/>
        <v>0.69650023325824462</v>
      </c>
      <c r="Q26" s="104"/>
      <c r="R26" s="120"/>
      <c r="S26" s="358"/>
    </row>
    <row r="27" spans="1:20" s="72" customFormat="1" ht="75" x14ac:dyDescent="0.25">
      <c r="A27" s="580">
        <v>18</v>
      </c>
      <c r="B27" s="585" t="s">
        <v>115</v>
      </c>
      <c r="C27" s="585" t="s">
        <v>400</v>
      </c>
      <c r="D27" s="581" t="s">
        <v>734</v>
      </c>
      <c r="E27" s="586" t="s">
        <v>46</v>
      </c>
      <c r="F27" s="599">
        <v>9</v>
      </c>
      <c r="G27" s="582">
        <v>141.36000000000001</v>
      </c>
      <c r="H27" s="582">
        <v>1316.01</v>
      </c>
      <c r="I27" s="582">
        <f t="shared" si="0"/>
        <v>1457.37</v>
      </c>
      <c r="J27" s="582">
        <f t="shared" si="1"/>
        <v>1272.24</v>
      </c>
      <c r="K27" s="582">
        <f t="shared" si="2"/>
        <v>11844.09</v>
      </c>
      <c r="L27" s="582">
        <f t="shared" si="3"/>
        <v>13116.33</v>
      </c>
      <c r="M27" s="600">
        <v>0.25</v>
      </c>
      <c r="N27" s="583">
        <f t="shared" si="4"/>
        <v>16395.41</v>
      </c>
      <c r="O27" s="584">
        <f t="shared" si="5"/>
        <v>1.2450927239777898E-2</v>
      </c>
      <c r="P27" s="601">
        <f t="shared" si="6"/>
        <v>0.70895116049802254</v>
      </c>
      <c r="Q27" s="104"/>
      <c r="R27" s="120"/>
      <c r="S27" s="358"/>
    </row>
    <row r="28" spans="1:20" s="72" customFormat="1" ht="30" x14ac:dyDescent="0.25">
      <c r="A28" s="580">
        <v>19</v>
      </c>
      <c r="B28" s="585" t="s">
        <v>94</v>
      </c>
      <c r="C28" s="585">
        <v>98458</v>
      </c>
      <c r="D28" s="581" t="s">
        <v>941</v>
      </c>
      <c r="E28" s="598" t="s">
        <v>61</v>
      </c>
      <c r="F28" s="599">
        <v>120</v>
      </c>
      <c r="G28" s="582">
        <v>13.15</v>
      </c>
      <c r="H28" s="582">
        <v>93.11</v>
      </c>
      <c r="I28" s="582">
        <f t="shared" si="0"/>
        <v>106.26</v>
      </c>
      <c r="J28" s="582">
        <f t="shared" si="1"/>
        <v>1578</v>
      </c>
      <c r="K28" s="582">
        <f t="shared" si="2"/>
        <v>11173.2</v>
      </c>
      <c r="L28" s="582">
        <f t="shared" si="3"/>
        <v>12751.2</v>
      </c>
      <c r="M28" s="600">
        <f>$F$6</f>
        <v>0.25</v>
      </c>
      <c r="N28" s="583">
        <f t="shared" si="4"/>
        <v>15939</v>
      </c>
      <c r="O28" s="584">
        <f t="shared" si="5"/>
        <v>1.2104322446027268E-2</v>
      </c>
      <c r="P28" s="601">
        <f t="shared" si="6"/>
        <v>0.72105548294404975</v>
      </c>
      <c r="Q28" s="104"/>
      <c r="R28" s="335"/>
      <c r="S28" s="358"/>
      <c r="T28" s="358"/>
    </row>
    <row r="29" spans="1:20" s="72" customFormat="1" x14ac:dyDescent="0.25">
      <c r="A29" s="580">
        <v>20</v>
      </c>
      <c r="B29" s="585" t="s">
        <v>115</v>
      </c>
      <c r="C29" s="585" t="s">
        <v>418</v>
      </c>
      <c r="D29" s="581" t="s">
        <v>554</v>
      </c>
      <c r="E29" s="586" t="s">
        <v>58</v>
      </c>
      <c r="F29" s="599">
        <v>260.77999999999997</v>
      </c>
      <c r="G29" s="582">
        <v>8.91</v>
      </c>
      <c r="H29" s="582">
        <v>35.97</v>
      </c>
      <c r="I29" s="582">
        <f t="shared" si="0"/>
        <v>44.88</v>
      </c>
      <c r="J29" s="582">
        <f t="shared" si="1"/>
        <v>2323.5500000000002</v>
      </c>
      <c r="K29" s="582">
        <f t="shared" si="2"/>
        <v>9380.26</v>
      </c>
      <c r="L29" s="582">
        <f t="shared" si="3"/>
        <v>11703.81</v>
      </c>
      <c r="M29" s="600">
        <v>0.25</v>
      </c>
      <c r="N29" s="583">
        <f t="shared" si="4"/>
        <v>14629.76</v>
      </c>
      <c r="O29" s="584">
        <f t="shared" si="5"/>
        <v>1.1110065396072016E-2</v>
      </c>
      <c r="P29" s="601">
        <f t="shared" si="6"/>
        <v>0.73216554834012182</v>
      </c>
      <c r="Q29" s="104"/>
      <c r="R29" s="120"/>
      <c r="S29" s="358"/>
    </row>
    <row r="30" spans="1:20" s="72" customFormat="1" ht="30" x14ac:dyDescent="0.25">
      <c r="A30" s="580">
        <v>21</v>
      </c>
      <c r="B30" s="597" t="s">
        <v>115</v>
      </c>
      <c r="C30" s="597" t="s">
        <v>365</v>
      </c>
      <c r="D30" s="581" t="s">
        <v>507</v>
      </c>
      <c r="E30" s="598" t="s">
        <v>505</v>
      </c>
      <c r="F30" s="599">
        <v>2700</v>
      </c>
      <c r="G30" s="582">
        <v>4.2699999999999996</v>
      </c>
      <c r="H30" s="582">
        <v>0</v>
      </c>
      <c r="I30" s="582">
        <f t="shared" si="0"/>
        <v>4.2699999999999996</v>
      </c>
      <c r="J30" s="582">
        <f t="shared" si="1"/>
        <v>11529</v>
      </c>
      <c r="K30" s="582">
        <f t="shared" si="2"/>
        <v>0</v>
      </c>
      <c r="L30" s="582">
        <f t="shared" si="3"/>
        <v>11529</v>
      </c>
      <c r="M30" s="600">
        <v>0.25</v>
      </c>
      <c r="N30" s="583">
        <f t="shared" si="4"/>
        <v>14411.25</v>
      </c>
      <c r="O30" s="584">
        <f t="shared" si="5"/>
        <v>1.094412553173414E-2</v>
      </c>
      <c r="P30" s="601">
        <f t="shared" si="6"/>
        <v>0.743109673871856</v>
      </c>
      <c r="Q30" s="104"/>
      <c r="R30" s="120"/>
      <c r="S30" s="358"/>
    </row>
    <row r="31" spans="1:20" s="72" customFormat="1" ht="30" x14ac:dyDescent="0.25">
      <c r="A31" s="580">
        <v>22</v>
      </c>
      <c r="B31" s="585" t="s">
        <v>94</v>
      </c>
      <c r="C31" s="585">
        <v>96372</v>
      </c>
      <c r="D31" s="581" t="s">
        <v>718</v>
      </c>
      <c r="E31" s="598" t="s">
        <v>61</v>
      </c>
      <c r="F31" s="599">
        <v>295.26</v>
      </c>
      <c r="G31" s="582">
        <v>1.36</v>
      </c>
      <c r="H31" s="582">
        <v>36.479999999999997</v>
      </c>
      <c r="I31" s="582">
        <f t="shared" si="0"/>
        <v>37.840000000000003</v>
      </c>
      <c r="J31" s="582">
        <f t="shared" si="1"/>
        <v>401.55</v>
      </c>
      <c r="K31" s="582">
        <f t="shared" si="2"/>
        <v>10771.08</v>
      </c>
      <c r="L31" s="582">
        <f t="shared" si="3"/>
        <v>11172.64</v>
      </c>
      <c r="M31" s="600">
        <v>0.25</v>
      </c>
      <c r="N31" s="583">
        <f t="shared" si="4"/>
        <v>13965.8</v>
      </c>
      <c r="O31" s="584">
        <f t="shared" si="5"/>
        <v>1.0605843931032536E-2</v>
      </c>
      <c r="P31" s="601">
        <f t="shared" si="6"/>
        <v>0.75371551780288859</v>
      </c>
      <c r="Q31" s="104"/>
      <c r="R31" s="120"/>
      <c r="S31" s="358"/>
    </row>
    <row r="32" spans="1:20" s="72" customFormat="1" ht="90" x14ac:dyDescent="0.25">
      <c r="A32" s="580">
        <v>23</v>
      </c>
      <c r="B32" s="585" t="s">
        <v>115</v>
      </c>
      <c r="C32" s="585" t="s">
        <v>363</v>
      </c>
      <c r="D32" s="587" t="s">
        <v>557</v>
      </c>
      <c r="E32" s="586" t="s">
        <v>46</v>
      </c>
      <c r="F32" s="599">
        <v>48</v>
      </c>
      <c r="G32" s="582">
        <v>27.09</v>
      </c>
      <c r="H32" s="582">
        <v>183.76</v>
      </c>
      <c r="I32" s="582">
        <f t="shared" si="0"/>
        <v>210.85</v>
      </c>
      <c r="J32" s="582">
        <f t="shared" si="1"/>
        <v>1300.32</v>
      </c>
      <c r="K32" s="582">
        <f t="shared" si="2"/>
        <v>8820.48</v>
      </c>
      <c r="L32" s="582">
        <f t="shared" si="3"/>
        <v>10120.799999999999</v>
      </c>
      <c r="M32" s="600">
        <v>0.25</v>
      </c>
      <c r="N32" s="583">
        <f t="shared" si="4"/>
        <v>12651</v>
      </c>
      <c r="O32" s="584">
        <f t="shared" si="5"/>
        <v>9.6073645313188381E-3</v>
      </c>
      <c r="P32" s="601">
        <f t="shared" si="6"/>
        <v>0.76332288233420742</v>
      </c>
      <c r="Q32" s="104"/>
      <c r="R32" s="120"/>
      <c r="S32" s="358"/>
    </row>
    <row r="33" spans="1:19" s="72" customFormat="1" ht="75" x14ac:dyDescent="0.25">
      <c r="A33" s="580">
        <v>24</v>
      </c>
      <c r="B33" s="585" t="s">
        <v>115</v>
      </c>
      <c r="C33" s="585" t="s">
        <v>778</v>
      </c>
      <c r="D33" s="587" t="s">
        <v>905</v>
      </c>
      <c r="E33" s="586" t="s">
        <v>46</v>
      </c>
      <c r="F33" s="599">
        <v>204</v>
      </c>
      <c r="G33" s="582">
        <v>15.91</v>
      </c>
      <c r="H33" s="582">
        <v>33.020000000000003</v>
      </c>
      <c r="I33" s="582">
        <f t="shared" si="0"/>
        <v>48.93</v>
      </c>
      <c r="J33" s="582">
        <f t="shared" si="1"/>
        <v>3245.64</v>
      </c>
      <c r="K33" s="582">
        <f t="shared" si="2"/>
        <v>6736.08</v>
      </c>
      <c r="L33" s="582">
        <f t="shared" si="3"/>
        <v>9981.7199999999993</v>
      </c>
      <c r="M33" s="600">
        <v>0.25</v>
      </c>
      <c r="N33" s="583">
        <f t="shared" si="4"/>
        <v>12477.15</v>
      </c>
      <c r="O33" s="584">
        <f t="shared" si="5"/>
        <v>9.4753401598249021E-3</v>
      </c>
      <c r="P33" s="601">
        <f t="shared" si="6"/>
        <v>0.77279822249403229</v>
      </c>
      <c r="Q33" s="104"/>
      <c r="R33" s="120"/>
      <c r="S33" s="358"/>
    </row>
    <row r="34" spans="1:19" s="72" customFormat="1" ht="30" x14ac:dyDescent="0.25">
      <c r="A34" s="580">
        <v>25</v>
      </c>
      <c r="B34" s="585" t="s">
        <v>115</v>
      </c>
      <c r="C34" s="585" t="s">
        <v>353</v>
      </c>
      <c r="D34" s="587" t="s">
        <v>765</v>
      </c>
      <c r="E34" s="586" t="s">
        <v>46</v>
      </c>
      <c r="F34" s="599">
        <v>7</v>
      </c>
      <c r="G34" s="582">
        <v>19.899999999999999</v>
      </c>
      <c r="H34" s="582">
        <v>1343.71</v>
      </c>
      <c r="I34" s="582">
        <f t="shared" si="0"/>
        <v>1363.61</v>
      </c>
      <c r="J34" s="582">
        <f t="shared" si="1"/>
        <v>139.30000000000001</v>
      </c>
      <c r="K34" s="582">
        <f t="shared" si="2"/>
        <v>9405.9699999999993</v>
      </c>
      <c r="L34" s="582">
        <f t="shared" si="3"/>
        <v>9545.27</v>
      </c>
      <c r="M34" s="600">
        <v>0.25</v>
      </c>
      <c r="N34" s="583">
        <f t="shared" si="4"/>
        <v>11931.59</v>
      </c>
      <c r="O34" s="584">
        <f t="shared" si="5"/>
        <v>9.0610334810085E-3</v>
      </c>
      <c r="P34" s="601">
        <f t="shared" si="6"/>
        <v>0.7818592559750408</v>
      </c>
      <c r="Q34" s="104"/>
      <c r="R34" s="332"/>
      <c r="S34" s="358"/>
    </row>
    <row r="35" spans="1:19" s="72" customFormat="1" ht="90" x14ac:dyDescent="0.25">
      <c r="A35" s="580">
        <v>26</v>
      </c>
      <c r="B35" s="585" t="s">
        <v>115</v>
      </c>
      <c r="C35" s="585" t="s">
        <v>768</v>
      </c>
      <c r="D35" s="587" t="s">
        <v>899</v>
      </c>
      <c r="E35" s="586" t="s">
        <v>46</v>
      </c>
      <c r="F35" s="599">
        <v>1</v>
      </c>
      <c r="G35" s="582">
        <v>318.24</v>
      </c>
      <c r="H35" s="582">
        <v>7969.5</v>
      </c>
      <c r="I35" s="582">
        <f t="shared" si="0"/>
        <v>8287.74</v>
      </c>
      <c r="J35" s="582">
        <f t="shared" si="1"/>
        <v>318.24</v>
      </c>
      <c r="K35" s="582">
        <f t="shared" si="2"/>
        <v>7969.5</v>
      </c>
      <c r="L35" s="582">
        <f t="shared" si="3"/>
        <v>8287.74</v>
      </c>
      <c r="M35" s="600">
        <v>0.25</v>
      </c>
      <c r="N35" s="583">
        <f t="shared" si="4"/>
        <v>10359.68</v>
      </c>
      <c r="O35" s="584">
        <f t="shared" si="5"/>
        <v>7.8673007815835225E-3</v>
      </c>
      <c r="P35" s="601">
        <f t="shared" si="6"/>
        <v>0.78972655675662429</v>
      </c>
      <c r="Q35" s="104"/>
      <c r="R35" s="120"/>
      <c r="S35" s="358"/>
    </row>
    <row r="36" spans="1:19" s="72" customFormat="1" ht="30" x14ac:dyDescent="0.25">
      <c r="A36" s="580">
        <v>27</v>
      </c>
      <c r="B36" s="597" t="s">
        <v>94</v>
      </c>
      <c r="C36" s="585">
        <v>88496</v>
      </c>
      <c r="D36" s="581" t="s">
        <v>391</v>
      </c>
      <c r="E36" s="598" t="s">
        <v>61</v>
      </c>
      <c r="F36" s="599">
        <v>352.63</v>
      </c>
      <c r="G36" s="582">
        <v>14.16</v>
      </c>
      <c r="H36" s="582">
        <v>9.2100000000000009</v>
      </c>
      <c r="I36" s="582">
        <f t="shared" si="0"/>
        <v>23.37</v>
      </c>
      <c r="J36" s="582">
        <f t="shared" si="1"/>
        <v>4993.24</v>
      </c>
      <c r="K36" s="582">
        <f t="shared" si="2"/>
        <v>3247.72</v>
      </c>
      <c r="L36" s="582">
        <f t="shared" si="3"/>
        <v>8240.9599999999991</v>
      </c>
      <c r="M36" s="600">
        <v>0.25</v>
      </c>
      <c r="N36" s="583">
        <f t="shared" si="4"/>
        <v>10301.200000000001</v>
      </c>
      <c r="O36" s="584">
        <f t="shared" si="5"/>
        <v>7.8228901675773954E-3</v>
      </c>
      <c r="P36" s="601">
        <f t="shared" si="6"/>
        <v>0.79754944692420171</v>
      </c>
      <c r="Q36" s="104"/>
      <c r="R36" s="120"/>
      <c r="S36" s="358"/>
    </row>
    <row r="37" spans="1:19" s="72" customFormat="1" ht="30" x14ac:dyDescent="0.25">
      <c r="A37" s="580">
        <v>28</v>
      </c>
      <c r="B37" s="597" t="s">
        <v>115</v>
      </c>
      <c r="C37" s="597" t="s">
        <v>405</v>
      </c>
      <c r="D37" s="581" t="s">
        <v>890</v>
      </c>
      <c r="E37" s="598" t="s">
        <v>46</v>
      </c>
      <c r="F37" s="599">
        <v>8</v>
      </c>
      <c r="G37" s="582">
        <v>66.319999999999993</v>
      </c>
      <c r="H37" s="582">
        <v>849.2</v>
      </c>
      <c r="I37" s="582">
        <f t="shared" si="0"/>
        <v>915.52</v>
      </c>
      <c r="J37" s="582">
        <f t="shared" si="1"/>
        <v>530.55999999999995</v>
      </c>
      <c r="K37" s="582">
        <f t="shared" si="2"/>
        <v>6793.6</v>
      </c>
      <c r="L37" s="582">
        <f t="shared" si="3"/>
        <v>7324.16</v>
      </c>
      <c r="M37" s="600">
        <v>0.25</v>
      </c>
      <c r="N37" s="583">
        <f t="shared" si="4"/>
        <v>9155.2000000000007</v>
      </c>
      <c r="O37" s="584">
        <f t="shared" si="5"/>
        <v>6.9526000914655155E-3</v>
      </c>
      <c r="P37" s="601">
        <f t="shared" si="6"/>
        <v>0.80450204701566719</v>
      </c>
      <c r="Q37" s="104"/>
      <c r="R37" s="120"/>
      <c r="S37" s="358"/>
    </row>
    <row r="38" spans="1:19" s="72" customFormat="1" ht="45" x14ac:dyDescent="0.25">
      <c r="A38" s="524">
        <v>29</v>
      </c>
      <c r="B38" s="519" t="s">
        <v>94</v>
      </c>
      <c r="C38" s="519">
        <v>100903</v>
      </c>
      <c r="D38" s="559" t="s">
        <v>442</v>
      </c>
      <c r="E38" s="525" t="s">
        <v>46</v>
      </c>
      <c r="F38" s="530">
        <v>230</v>
      </c>
      <c r="G38" s="102">
        <v>5.85</v>
      </c>
      <c r="H38" s="102">
        <v>25.82</v>
      </c>
      <c r="I38" s="102">
        <f t="shared" si="0"/>
        <v>31.67</v>
      </c>
      <c r="J38" s="102">
        <f t="shared" si="1"/>
        <v>1345.5</v>
      </c>
      <c r="K38" s="102">
        <f t="shared" si="2"/>
        <v>5938.6</v>
      </c>
      <c r="L38" s="102">
        <f t="shared" si="3"/>
        <v>7284.1</v>
      </c>
      <c r="M38" s="410">
        <v>0.25</v>
      </c>
      <c r="N38" s="408">
        <f t="shared" si="4"/>
        <v>9105.1299999999992</v>
      </c>
      <c r="O38" s="579">
        <f t="shared" si="5"/>
        <v>6.9145761611767512E-3</v>
      </c>
      <c r="P38" s="171">
        <f t="shared" si="6"/>
        <v>0.81141662317684393</v>
      </c>
      <c r="Q38" s="104"/>
      <c r="R38" s="120"/>
      <c r="S38" s="358"/>
    </row>
    <row r="39" spans="1:19" s="72" customFormat="1" ht="60" x14ac:dyDescent="0.25">
      <c r="A39" s="524">
        <v>30</v>
      </c>
      <c r="B39" s="518" t="s">
        <v>115</v>
      </c>
      <c r="C39" s="518" t="s">
        <v>368</v>
      </c>
      <c r="D39" s="520" t="s">
        <v>510</v>
      </c>
      <c r="E39" s="521" t="s">
        <v>46</v>
      </c>
      <c r="F39" s="530">
        <v>10</v>
      </c>
      <c r="G39" s="102">
        <v>65.89</v>
      </c>
      <c r="H39" s="102">
        <v>658.67</v>
      </c>
      <c r="I39" s="102">
        <f t="shared" si="0"/>
        <v>724.56</v>
      </c>
      <c r="J39" s="102">
        <f t="shared" si="1"/>
        <v>658.9</v>
      </c>
      <c r="K39" s="102">
        <f t="shared" si="2"/>
        <v>6586.7</v>
      </c>
      <c r="L39" s="102">
        <f t="shared" si="3"/>
        <v>7245.6</v>
      </c>
      <c r="M39" s="410">
        <v>0.25</v>
      </c>
      <c r="N39" s="408">
        <f t="shared" si="4"/>
        <v>9057</v>
      </c>
      <c r="O39" s="579">
        <f t="shared" si="5"/>
        <v>6.8780254968109017E-3</v>
      </c>
      <c r="P39" s="171">
        <f t="shared" si="6"/>
        <v>0.81829464867365487</v>
      </c>
      <c r="Q39" s="104"/>
      <c r="R39" s="120"/>
      <c r="S39" s="358"/>
    </row>
    <row r="40" spans="1:19" s="72" customFormat="1" ht="75" x14ac:dyDescent="0.25">
      <c r="A40" s="524">
        <v>31</v>
      </c>
      <c r="B40" s="519" t="s">
        <v>115</v>
      </c>
      <c r="C40" s="519" t="s">
        <v>796</v>
      </c>
      <c r="D40" s="559" t="s">
        <v>801</v>
      </c>
      <c r="E40" s="525" t="s">
        <v>46</v>
      </c>
      <c r="F40" s="530">
        <v>335</v>
      </c>
      <c r="G40" s="102">
        <v>19.899999999999999</v>
      </c>
      <c r="H40" s="102">
        <v>0</v>
      </c>
      <c r="I40" s="102">
        <f t="shared" si="0"/>
        <v>19.899999999999999</v>
      </c>
      <c r="J40" s="102">
        <f t="shared" si="1"/>
        <v>6666.5</v>
      </c>
      <c r="K40" s="102">
        <f t="shared" si="2"/>
        <v>0</v>
      </c>
      <c r="L40" s="102">
        <f t="shared" si="3"/>
        <v>6666.5</v>
      </c>
      <c r="M40" s="410">
        <v>0.25</v>
      </c>
      <c r="N40" s="408">
        <f t="shared" si="4"/>
        <v>8333.1299999999992</v>
      </c>
      <c r="O40" s="579">
        <f t="shared" si="5"/>
        <v>6.3283074537087139E-3</v>
      </c>
      <c r="P40" s="171">
        <f t="shared" si="6"/>
        <v>0.82462295612736358</v>
      </c>
      <c r="Q40" s="104"/>
      <c r="R40" s="124"/>
      <c r="S40" s="358"/>
    </row>
    <row r="41" spans="1:19" s="72" customFormat="1" ht="60" x14ac:dyDescent="0.25">
      <c r="A41" s="524">
        <v>32</v>
      </c>
      <c r="B41" s="518" t="s">
        <v>115</v>
      </c>
      <c r="C41" s="518" t="s">
        <v>497</v>
      </c>
      <c r="D41" s="520" t="s">
        <v>831</v>
      </c>
      <c r="E41" s="521" t="s">
        <v>46</v>
      </c>
      <c r="F41" s="530">
        <v>7</v>
      </c>
      <c r="G41" s="102">
        <v>65.89</v>
      </c>
      <c r="H41" s="102">
        <v>882.24</v>
      </c>
      <c r="I41" s="102">
        <f t="shared" si="0"/>
        <v>948.13</v>
      </c>
      <c r="J41" s="102">
        <f t="shared" si="1"/>
        <v>461.23</v>
      </c>
      <c r="K41" s="102">
        <f t="shared" si="2"/>
        <v>6175.68</v>
      </c>
      <c r="L41" s="102">
        <f t="shared" si="3"/>
        <v>6636.91</v>
      </c>
      <c r="M41" s="410">
        <v>0.25</v>
      </c>
      <c r="N41" s="408">
        <f t="shared" si="4"/>
        <v>8296.14</v>
      </c>
      <c r="O41" s="579">
        <f t="shared" si="5"/>
        <v>6.3002166771682442E-3</v>
      </c>
      <c r="P41" s="171">
        <f t="shared" si="6"/>
        <v>0.83092317280453187</v>
      </c>
      <c r="Q41" s="104"/>
      <c r="R41" s="124"/>
      <c r="S41" s="358"/>
    </row>
    <row r="42" spans="1:19" s="72" customFormat="1" ht="30" x14ac:dyDescent="0.25">
      <c r="A42" s="524">
        <v>33</v>
      </c>
      <c r="B42" s="518" t="s">
        <v>94</v>
      </c>
      <c r="C42" s="519">
        <v>88497</v>
      </c>
      <c r="D42" s="520" t="s">
        <v>390</v>
      </c>
      <c r="E42" s="521" t="s">
        <v>61</v>
      </c>
      <c r="F42" s="530">
        <v>474.33000000000004</v>
      </c>
      <c r="G42" s="102">
        <v>6.57</v>
      </c>
      <c r="H42" s="102">
        <v>6.72</v>
      </c>
      <c r="I42" s="102">
        <f t="shared" si="0"/>
        <v>13.29</v>
      </c>
      <c r="J42" s="102">
        <f t="shared" si="1"/>
        <v>3116.35</v>
      </c>
      <c r="K42" s="102">
        <f t="shared" si="2"/>
        <v>3187.5</v>
      </c>
      <c r="L42" s="102">
        <f t="shared" si="3"/>
        <v>6303.85</v>
      </c>
      <c r="M42" s="410">
        <v>0.25</v>
      </c>
      <c r="N42" s="408">
        <f t="shared" si="4"/>
        <v>7879.81</v>
      </c>
      <c r="O42" s="579">
        <f t="shared" si="5"/>
        <v>5.9840492536188047E-3</v>
      </c>
      <c r="P42" s="171">
        <f t="shared" si="6"/>
        <v>0.83690722205815071</v>
      </c>
      <c r="Q42" s="104"/>
      <c r="R42" s="124"/>
      <c r="S42" s="358"/>
    </row>
    <row r="43" spans="1:19" s="72" customFormat="1" ht="105" x14ac:dyDescent="0.25">
      <c r="A43" s="524">
        <v>34</v>
      </c>
      <c r="B43" s="519" t="s">
        <v>115</v>
      </c>
      <c r="C43" s="519" t="s">
        <v>779</v>
      </c>
      <c r="D43" s="559" t="s">
        <v>911</v>
      </c>
      <c r="E43" s="525" t="s">
        <v>46</v>
      </c>
      <c r="F43" s="530">
        <v>4</v>
      </c>
      <c r="G43" s="102">
        <v>39.78</v>
      </c>
      <c r="H43" s="102">
        <v>1531.4</v>
      </c>
      <c r="I43" s="102">
        <f t="shared" si="0"/>
        <v>1571.18</v>
      </c>
      <c r="J43" s="102">
        <f t="shared" si="1"/>
        <v>159.12</v>
      </c>
      <c r="K43" s="102">
        <f t="shared" si="2"/>
        <v>6125.6</v>
      </c>
      <c r="L43" s="102">
        <f t="shared" si="3"/>
        <v>6284.72</v>
      </c>
      <c r="M43" s="410">
        <v>0.25</v>
      </c>
      <c r="N43" s="408">
        <f t="shared" si="4"/>
        <v>7855.9</v>
      </c>
      <c r="O43" s="579">
        <f t="shared" si="5"/>
        <v>5.9658916308266271E-3</v>
      </c>
      <c r="P43" s="171">
        <f t="shared" si="6"/>
        <v>0.84287311368897733</v>
      </c>
      <c r="Q43" s="104"/>
      <c r="R43" s="124"/>
      <c r="S43" s="358"/>
    </row>
    <row r="44" spans="1:19" s="72" customFormat="1" ht="30" x14ac:dyDescent="0.25">
      <c r="A44" s="524">
        <v>35</v>
      </c>
      <c r="B44" s="519" t="s">
        <v>94</v>
      </c>
      <c r="C44" s="519">
        <v>91926</v>
      </c>
      <c r="D44" s="559" t="s">
        <v>429</v>
      </c>
      <c r="E44" s="525" t="s">
        <v>58</v>
      </c>
      <c r="F44" s="530">
        <v>1390</v>
      </c>
      <c r="G44" s="102">
        <v>0.92</v>
      </c>
      <c r="H44" s="102">
        <v>3.12</v>
      </c>
      <c r="I44" s="102">
        <f t="shared" si="0"/>
        <v>4.04</v>
      </c>
      <c r="J44" s="102">
        <f t="shared" si="1"/>
        <v>1278.8</v>
      </c>
      <c r="K44" s="102">
        <f t="shared" si="2"/>
        <v>4336.8</v>
      </c>
      <c r="L44" s="102">
        <f t="shared" si="3"/>
        <v>5615.6</v>
      </c>
      <c r="M44" s="410">
        <v>0.25</v>
      </c>
      <c r="N44" s="408">
        <f t="shared" si="4"/>
        <v>7019.5</v>
      </c>
      <c r="O44" s="579">
        <f t="shared" si="5"/>
        <v>5.3307165700413077E-3</v>
      </c>
      <c r="P44" s="171">
        <f t="shared" si="6"/>
        <v>0.84820383025901869</v>
      </c>
      <c r="Q44" s="104"/>
      <c r="R44" s="124"/>
      <c r="S44" s="358"/>
    </row>
    <row r="45" spans="1:19" s="72" customFormat="1" ht="30" x14ac:dyDescent="0.25">
      <c r="A45" s="524">
        <v>36</v>
      </c>
      <c r="B45" s="519" t="s">
        <v>94</v>
      </c>
      <c r="C45" s="519">
        <v>88488</v>
      </c>
      <c r="D45" s="520" t="s">
        <v>956</v>
      </c>
      <c r="E45" s="525" t="s">
        <v>61</v>
      </c>
      <c r="F45" s="530">
        <v>352.63</v>
      </c>
      <c r="G45" s="102">
        <v>5.12</v>
      </c>
      <c r="H45" s="102">
        <v>10.16</v>
      </c>
      <c r="I45" s="102">
        <f t="shared" si="0"/>
        <v>15.28</v>
      </c>
      <c r="J45" s="102">
        <f t="shared" si="1"/>
        <v>1805.47</v>
      </c>
      <c r="K45" s="102">
        <f t="shared" si="2"/>
        <v>3582.72</v>
      </c>
      <c r="L45" s="102">
        <f t="shared" si="3"/>
        <v>5388.19</v>
      </c>
      <c r="M45" s="410">
        <v>0.25</v>
      </c>
      <c r="N45" s="408">
        <f t="shared" si="4"/>
        <v>6735.24</v>
      </c>
      <c r="O45" s="579">
        <f t="shared" si="5"/>
        <v>5.1148451415635038E-3</v>
      </c>
      <c r="P45" s="171">
        <f t="shared" si="6"/>
        <v>0.85331867540058215</v>
      </c>
      <c r="Q45" s="104"/>
      <c r="R45" s="124"/>
      <c r="S45" s="358"/>
    </row>
    <row r="46" spans="1:19" x14ac:dyDescent="0.25">
      <c r="A46" s="524">
        <v>37</v>
      </c>
      <c r="B46" s="518" t="s">
        <v>115</v>
      </c>
      <c r="C46" s="518" t="s">
        <v>501</v>
      </c>
      <c r="D46" s="520" t="s">
        <v>853</v>
      </c>
      <c r="E46" s="521" t="s">
        <v>46</v>
      </c>
      <c r="F46" s="530">
        <v>25</v>
      </c>
      <c r="G46" s="102">
        <v>26.35</v>
      </c>
      <c r="H46" s="102">
        <v>168.5</v>
      </c>
      <c r="I46" s="102">
        <f t="shared" si="0"/>
        <v>194.85</v>
      </c>
      <c r="J46" s="102">
        <f t="shared" si="1"/>
        <v>658.75</v>
      </c>
      <c r="K46" s="102">
        <f t="shared" si="2"/>
        <v>4212.5</v>
      </c>
      <c r="L46" s="102">
        <f t="shared" si="3"/>
        <v>4871.25</v>
      </c>
      <c r="M46" s="410">
        <v>0.25</v>
      </c>
      <c r="N46" s="408">
        <f t="shared" si="4"/>
        <v>6089.06</v>
      </c>
      <c r="O46" s="579">
        <f t="shared" si="5"/>
        <v>4.6241260827659704E-3</v>
      </c>
      <c r="P46" s="171">
        <f t="shared" si="6"/>
        <v>0.85794280148334812</v>
      </c>
      <c r="Q46" s="104"/>
      <c r="R46" s="359"/>
      <c r="S46" s="358"/>
    </row>
    <row r="47" spans="1:19" ht="60" x14ac:dyDescent="0.25">
      <c r="A47" s="524">
        <v>38</v>
      </c>
      <c r="B47" s="518" t="s">
        <v>115</v>
      </c>
      <c r="C47" s="518" t="s">
        <v>499</v>
      </c>
      <c r="D47" s="520" t="s">
        <v>594</v>
      </c>
      <c r="E47" s="521" t="s">
        <v>46</v>
      </c>
      <c r="F47" s="530">
        <v>10</v>
      </c>
      <c r="G47" s="102">
        <v>52.71</v>
      </c>
      <c r="H47" s="102">
        <v>433.65</v>
      </c>
      <c r="I47" s="102">
        <f t="shared" si="0"/>
        <v>486.36</v>
      </c>
      <c r="J47" s="102">
        <f t="shared" si="1"/>
        <v>527.1</v>
      </c>
      <c r="K47" s="102">
        <f t="shared" si="2"/>
        <v>4336.5</v>
      </c>
      <c r="L47" s="102">
        <f t="shared" si="3"/>
        <v>4863.6000000000004</v>
      </c>
      <c r="M47" s="410">
        <v>0.25</v>
      </c>
      <c r="N47" s="408">
        <f t="shared" si="4"/>
        <v>6079.5</v>
      </c>
      <c r="O47" s="579">
        <f t="shared" si="5"/>
        <v>4.6168660713107957E-3</v>
      </c>
      <c r="P47" s="171">
        <f t="shared" si="6"/>
        <v>0.86255966755465896</v>
      </c>
      <c r="Q47" s="104"/>
      <c r="R47" s="359"/>
      <c r="S47" s="358"/>
    </row>
    <row r="48" spans="1:19" ht="60" x14ac:dyDescent="0.25">
      <c r="A48" s="524">
        <v>39</v>
      </c>
      <c r="B48" s="518" t="s">
        <v>115</v>
      </c>
      <c r="C48" s="518" t="s">
        <v>503</v>
      </c>
      <c r="D48" s="520" t="s">
        <v>854</v>
      </c>
      <c r="E48" s="521" t="s">
        <v>46</v>
      </c>
      <c r="F48" s="530">
        <v>1</v>
      </c>
      <c r="G48" s="102">
        <v>263.52</v>
      </c>
      <c r="H48" s="102">
        <v>4567.5</v>
      </c>
      <c r="I48" s="102">
        <f t="shared" si="0"/>
        <v>4831.0200000000004</v>
      </c>
      <c r="J48" s="102">
        <f t="shared" si="1"/>
        <v>263.52</v>
      </c>
      <c r="K48" s="102">
        <f t="shared" si="2"/>
        <v>4567.5</v>
      </c>
      <c r="L48" s="102">
        <f t="shared" si="3"/>
        <v>4831.0200000000004</v>
      </c>
      <c r="M48" s="410">
        <v>0.25</v>
      </c>
      <c r="N48" s="408">
        <f t="shared" si="4"/>
        <v>6038.78</v>
      </c>
      <c r="O48" s="579">
        <f t="shared" si="5"/>
        <v>4.5859426752381293E-3</v>
      </c>
      <c r="P48" s="171">
        <f t="shared" si="6"/>
        <v>0.86714561022989711</v>
      </c>
      <c r="Q48" s="104"/>
      <c r="R48" s="359"/>
      <c r="S48" s="358"/>
    </row>
    <row r="49" spans="1:19" ht="30" x14ac:dyDescent="0.25">
      <c r="A49" s="524">
        <v>40</v>
      </c>
      <c r="B49" s="519" t="s">
        <v>94</v>
      </c>
      <c r="C49" s="519">
        <v>98297</v>
      </c>
      <c r="D49" s="559" t="s">
        <v>452</v>
      </c>
      <c r="E49" s="525" t="s">
        <v>58</v>
      </c>
      <c r="F49" s="530">
        <v>1590</v>
      </c>
      <c r="G49" s="102">
        <v>0.13</v>
      </c>
      <c r="H49" s="102">
        <v>2.73</v>
      </c>
      <c r="I49" s="102">
        <f t="shared" si="0"/>
        <v>2.86</v>
      </c>
      <c r="J49" s="102">
        <f t="shared" si="1"/>
        <v>206.7</v>
      </c>
      <c r="K49" s="102">
        <f t="shared" si="2"/>
        <v>4340.7</v>
      </c>
      <c r="L49" s="102">
        <f t="shared" si="3"/>
        <v>4547.3999999999996</v>
      </c>
      <c r="M49" s="410">
        <v>0.25</v>
      </c>
      <c r="N49" s="408">
        <f t="shared" si="4"/>
        <v>5684.25</v>
      </c>
      <c r="O49" s="579">
        <f t="shared" si="5"/>
        <v>4.3167071249030986E-3</v>
      </c>
      <c r="P49" s="171">
        <f t="shared" si="6"/>
        <v>0.87146231735480018</v>
      </c>
      <c r="Q49" s="104"/>
      <c r="R49" s="359"/>
      <c r="S49" s="358"/>
    </row>
    <row r="50" spans="1:19" ht="30" x14ac:dyDescent="0.25">
      <c r="A50" s="524">
        <v>41</v>
      </c>
      <c r="B50" s="519" t="s">
        <v>94</v>
      </c>
      <c r="C50" s="519">
        <v>93662</v>
      </c>
      <c r="D50" s="559" t="s">
        <v>437</v>
      </c>
      <c r="E50" s="525" t="s">
        <v>46</v>
      </c>
      <c r="F50" s="530">
        <v>69</v>
      </c>
      <c r="G50" s="102">
        <v>4.0999999999999996</v>
      </c>
      <c r="H50" s="102">
        <v>57.51</v>
      </c>
      <c r="I50" s="102">
        <f t="shared" si="0"/>
        <v>61.61</v>
      </c>
      <c r="J50" s="102">
        <f t="shared" si="1"/>
        <v>282.89999999999998</v>
      </c>
      <c r="K50" s="102">
        <f t="shared" si="2"/>
        <v>3968.19</v>
      </c>
      <c r="L50" s="102">
        <f t="shared" si="3"/>
        <v>4251.09</v>
      </c>
      <c r="M50" s="410">
        <v>0.25</v>
      </c>
      <c r="N50" s="408">
        <f t="shared" si="4"/>
        <v>5313.86</v>
      </c>
      <c r="O50" s="579">
        <f t="shared" si="5"/>
        <v>4.0354272459405512E-3</v>
      </c>
      <c r="P50" s="171">
        <f t="shared" si="6"/>
        <v>0.8754977446007407</v>
      </c>
      <c r="Q50" s="104"/>
      <c r="R50" s="359"/>
      <c r="S50" s="358"/>
    </row>
    <row r="51" spans="1:19" ht="30" x14ac:dyDescent="0.25">
      <c r="A51" s="524">
        <v>42</v>
      </c>
      <c r="B51" s="519" t="s">
        <v>115</v>
      </c>
      <c r="C51" s="519" t="s">
        <v>403</v>
      </c>
      <c r="D51" s="520" t="s">
        <v>893</v>
      </c>
      <c r="E51" s="525" t="s">
        <v>46</v>
      </c>
      <c r="F51" s="530">
        <v>11</v>
      </c>
      <c r="G51" s="102">
        <v>53.02</v>
      </c>
      <c r="H51" s="102">
        <v>282.05</v>
      </c>
      <c r="I51" s="102">
        <f t="shared" si="0"/>
        <v>335.07</v>
      </c>
      <c r="J51" s="102">
        <f t="shared" si="1"/>
        <v>583.22</v>
      </c>
      <c r="K51" s="102">
        <f t="shared" si="2"/>
        <v>3102.55</v>
      </c>
      <c r="L51" s="102">
        <f t="shared" si="3"/>
        <v>3685.77</v>
      </c>
      <c r="M51" s="410">
        <v>0.25</v>
      </c>
      <c r="N51" s="408">
        <f t="shared" si="4"/>
        <v>4607.21</v>
      </c>
      <c r="O51" s="579">
        <f t="shared" si="5"/>
        <v>3.4987863364427684E-3</v>
      </c>
      <c r="P51" s="171">
        <f t="shared" si="6"/>
        <v>0.87899653093718344</v>
      </c>
      <c r="Q51" s="104"/>
      <c r="R51" s="359"/>
      <c r="S51" s="358"/>
    </row>
    <row r="52" spans="1:19" ht="75" x14ac:dyDescent="0.25">
      <c r="A52" s="524">
        <v>43</v>
      </c>
      <c r="B52" s="518" t="s">
        <v>115</v>
      </c>
      <c r="C52" s="518" t="s">
        <v>489</v>
      </c>
      <c r="D52" s="520" t="s">
        <v>509</v>
      </c>
      <c r="E52" s="521" t="s">
        <v>46</v>
      </c>
      <c r="F52" s="530">
        <v>7</v>
      </c>
      <c r="G52" s="102">
        <v>65.89</v>
      </c>
      <c r="H52" s="102">
        <v>457.06</v>
      </c>
      <c r="I52" s="102">
        <f t="shared" si="0"/>
        <v>522.95000000000005</v>
      </c>
      <c r="J52" s="102">
        <f t="shared" si="1"/>
        <v>461.23</v>
      </c>
      <c r="K52" s="102">
        <f t="shared" si="2"/>
        <v>3199.42</v>
      </c>
      <c r="L52" s="102">
        <f t="shared" si="3"/>
        <v>3660.65</v>
      </c>
      <c r="M52" s="410">
        <v>0.25</v>
      </c>
      <c r="N52" s="408">
        <f t="shared" si="4"/>
        <v>4575.8100000000004</v>
      </c>
      <c r="O52" s="579">
        <f t="shared" si="5"/>
        <v>3.4749406921234728E-3</v>
      </c>
      <c r="P52" s="171">
        <f t="shared" si="6"/>
        <v>0.88247147162930695</v>
      </c>
      <c r="Q52" s="104"/>
      <c r="R52" s="359"/>
      <c r="S52" s="358"/>
    </row>
    <row r="53" spans="1:19" x14ac:dyDescent="0.25">
      <c r="A53" s="524">
        <v>44</v>
      </c>
      <c r="B53" s="519" t="s">
        <v>115</v>
      </c>
      <c r="C53" s="519">
        <f>A53</f>
        <v>44</v>
      </c>
      <c r="D53" s="520" t="s">
        <v>149</v>
      </c>
      <c r="E53" s="525" t="s">
        <v>46</v>
      </c>
      <c r="F53" s="530">
        <v>1</v>
      </c>
      <c r="G53" s="102">
        <v>0</v>
      </c>
      <c r="H53" s="102">
        <v>3500</v>
      </c>
      <c r="I53" s="102">
        <f t="shared" si="0"/>
        <v>3500</v>
      </c>
      <c r="J53" s="102">
        <f t="shared" si="1"/>
        <v>0</v>
      </c>
      <c r="K53" s="102">
        <f t="shared" si="2"/>
        <v>3500</v>
      </c>
      <c r="L53" s="102">
        <f t="shared" si="3"/>
        <v>3500</v>
      </c>
      <c r="M53" s="410">
        <f>$F$6</f>
        <v>0.25</v>
      </c>
      <c r="N53" s="408">
        <f t="shared" si="4"/>
        <v>4375</v>
      </c>
      <c r="O53" s="579">
        <f t="shared" si="5"/>
        <v>3.3224424807936064E-3</v>
      </c>
      <c r="P53" s="171">
        <f t="shared" si="6"/>
        <v>0.88579391411010056</v>
      </c>
      <c r="Q53" s="104"/>
      <c r="R53" s="359"/>
      <c r="S53" s="358"/>
    </row>
    <row r="54" spans="1:19" x14ac:dyDescent="0.25">
      <c r="A54" s="524">
        <v>45</v>
      </c>
      <c r="B54" s="519" t="s">
        <v>94</v>
      </c>
      <c r="C54" s="519">
        <v>94295</v>
      </c>
      <c r="D54" s="520" t="s">
        <v>534</v>
      </c>
      <c r="E54" s="525" t="s">
        <v>72</v>
      </c>
      <c r="F54" s="530">
        <v>3</v>
      </c>
      <c r="G54" s="102">
        <v>1164.33</v>
      </c>
      <c r="H54" s="102">
        <v>0</v>
      </c>
      <c r="I54" s="102">
        <f t="shared" si="0"/>
        <v>1164.33</v>
      </c>
      <c r="J54" s="102">
        <f t="shared" si="1"/>
        <v>3492.99</v>
      </c>
      <c r="K54" s="102">
        <f t="shared" si="2"/>
        <v>0</v>
      </c>
      <c r="L54" s="102">
        <f t="shared" si="3"/>
        <v>3492.99</v>
      </c>
      <c r="M54" s="410">
        <f>$F$6</f>
        <v>0.25</v>
      </c>
      <c r="N54" s="408">
        <f t="shared" si="4"/>
        <v>4366.24</v>
      </c>
      <c r="O54" s="579">
        <f t="shared" si="5"/>
        <v>3.3157900016777772E-3</v>
      </c>
      <c r="P54" s="171">
        <f t="shared" si="6"/>
        <v>0.88910970411177837</v>
      </c>
      <c r="Q54" s="104"/>
      <c r="R54" s="359"/>
      <c r="S54" s="358"/>
    </row>
    <row r="55" spans="1:19" ht="90" x14ac:dyDescent="0.25">
      <c r="A55" s="524">
        <v>46</v>
      </c>
      <c r="B55" s="519" t="s">
        <v>115</v>
      </c>
      <c r="C55" s="519" t="s">
        <v>769</v>
      </c>
      <c r="D55" s="559" t="s">
        <v>900</v>
      </c>
      <c r="E55" s="525" t="s">
        <v>46</v>
      </c>
      <c r="F55" s="530">
        <v>1</v>
      </c>
      <c r="G55" s="102">
        <v>318.24</v>
      </c>
      <c r="H55" s="102">
        <v>3139.5</v>
      </c>
      <c r="I55" s="102">
        <f t="shared" si="0"/>
        <v>3457.74</v>
      </c>
      <c r="J55" s="102">
        <f t="shared" si="1"/>
        <v>318.24</v>
      </c>
      <c r="K55" s="102">
        <f t="shared" si="2"/>
        <v>3139.5</v>
      </c>
      <c r="L55" s="102">
        <f t="shared" si="3"/>
        <v>3457.74</v>
      </c>
      <c r="M55" s="410">
        <v>0.25</v>
      </c>
      <c r="N55" s="408">
        <f t="shared" si="4"/>
        <v>4322.18</v>
      </c>
      <c r="O55" s="579">
        <f t="shared" si="5"/>
        <v>3.2823301580883453E-3</v>
      </c>
      <c r="P55" s="171">
        <f t="shared" si="6"/>
        <v>0.89239203426986669</v>
      </c>
      <c r="Q55" s="104"/>
      <c r="R55" s="359"/>
      <c r="S55" s="358"/>
    </row>
    <row r="56" spans="1:19" ht="75" x14ac:dyDescent="0.25">
      <c r="A56" s="524">
        <v>47</v>
      </c>
      <c r="B56" s="519" t="s">
        <v>115</v>
      </c>
      <c r="C56" s="519" t="s">
        <v>401</v>
      </c>
      <c r="D56" s="520" t="s">
        <v>888</v>
      </c>
      <c r="E56" s="525" t="s">
        <v>46</v>
      </c>
      <c r="F56" s="530">
        <v>2</v>
      </c>
      <c r="G56" s="102">
        <v>141.36000000000001</v>
      </c>
      <c r="H56" s="102">
        <v>1416.01</v>
      </c>
      <c r="I56" s="102">
        <f t="shared" si="0"/>
        <v>1557.37</v>
      </c>
      <c r="J56" s="102">
        <f t="shared" si="1"/>
        <v>282.72000000000003</v>
      </c>
      <c r="K56" s="102">
        <f t="shared" si="2"/>
        <v>2832.02</v>
      </c>
      <c r="L56" s="102">
        <f t="shared" si="3"/>
        <v>3114.74</v>
      </c>
      <c r="M56" s="410">
        <v>0.25</v>
      </c>
      <c r="N56" s="408">
        <f t="shared" si="4"/>
        <v>3893.43</v>
      </c>
      <c r="O56" s="579">
        <f t="shared" si="5"/>
        <v>2.9567307949705714E-3</v>
      </c>
      <c r="P56" s="171">
        <f t="shared" si="6"/>
        <v>0.89534876506483729</v>
      </c>
      <c r="Q56" s="104"/>
      <c r="R56" s="359"/>
      <c r="S56" s="358"/>
    </row>
    <row r="57" spans="1:19" x14ac:dyDescent="0.25">
      <c r="A57" s="524">
        <v>48</v>
      </c>
      <c r="B57" s="519" t="s">
        <v>115</v>
      </c>
      <c r="C57" s="519">
        <f>A57</f>
        <v>48</v>
      </c>
      <c r="D57" s="520" t="s">
        <v>110</v>
      </c>
      <c r="E57" s="521" t="s">
        <v>46</v>
      </c>
      <c r="F57" s="530">
        <v>1</v>
      </c>
      <c r="G57" s="102">
        <v>0</v>
      </c>
      <c r="H57" s="102">
        <v>3054.05</v>
      </c>
      <c r="I57" s="102">
        <f t="shared" si="0"/>
        <v>3054.05</v>
      </c>
      <c r="J57" s="102">
        <f t="shared" si="1"/>
        <v>0</v>
      </c>
      <c r="K57" s="102">
        <f t="shared" si="2"/>
        <v>3054.05</v>
      </c>
      <c r="L57" s="102">
        <f t="shared" si="3"/>
        <v>3054.05</v>
      </c>
      <c r="M57" s="410">
        <f>$F$6</f>
        <v>0.25</v>
      </c>
      <c r="N57" s="408">
        <f t="shared" si="4"/>
        <v>3817.56</v>
      </c>
      <c r="O57" s="579">
        <f t="shared" si="5"/>
        <v>2.8991139467379294E-3</v>
      </c>
      <c r="P57" s="171">
        <f t="shared" si="6"/>
        <v>0.89824787901157521</v>
      </c>
      <c r="Q57" s="104"/>
      <c r="R57" s="359"/>
      <c r="S57" s="358"/>
    </row>
    <row r="58" spans="1:19" ht="60" x14ac:dyDescent="0.25">
      <c r="A58" s="524">
        <v>49</v>
      </c>
      <c r="B58" s="519" t="s">
        <v>115</v>
      </c>
      <c r="C58" s="519" t="s">
        <v>402</v>
      </c>
      <c r="D58" s="520" t="s">
        <v>889</v>
      </c>
      <c r="E58" s="525" t="s">
        <v>46</v>
      </c>
      <c r="F58" s="530">
        <v>2</v>
      </c>
      <c r="G58" s="102">
        <v>141.36000000000001</v>
      </c>
      <c r="H58" s="102">
        <v>1385.01</v>
      </c>
      <c r="I58" s="102">
        <f t="shared" si="0"/>
        <v>1526.37</v>
      </c>
      <c r="J58" s="102">
        <f t="shared" si="1"/>
        <v>282.72000000000003</v>
      </c>
      <c r="K58" s="102">
        <f t="shared" si="2"/>
        <v>2770.02</v>
      </c>
      <c r="L58" s="102">
        <f t="shared" si="3"/>
        <v>3052.74</v>
      </c>
      <c r="M58" s="410">
        <v>0.25</v>
      </c>
      <c r="N58" s="408">
        <f t="shared" si="4"/>
        <v>3815.93</v>
      </c>
      <c r="O58" s="579">
        <f t="shared" si="5"/>
        <v>2.8978760995965135E-3</v>
      </c>
      <c r="P58" s="171">
        <f t="shared" si="6"/>
        <v>0.90114575511117168</v>
      </c>
      <c r="Q58" s="104"/>
      <c r="R58" s="359"/>
      <c r="S58" s="358"/>
    </row>
    <row r="59" spans="1:19" ht="45" x14ac:dyDescent="0.25">
      <c r="A59" s="524">
        <v>50</v>
      </c>
      <c r="B59" s="519" t="s">
        <v>115</v>
      </c>
      <c r="C59" s="519" t="s">
        <v>781</v>
      </c>
      <c r="D59" s="559" t="s">
        <v>451</v>
      </c>
      <c r="E59" s="525" t="s">
        <v>46</v>
      </c>
      <c r="F59" s="530">
        <v>46</v>
      </c>
      <c r="G59" s="102">
        <v>11.93</v>
      </c>
      <c r="H59" s="102">
        <v>53.75</v>
      </c>
      <c r="I59" s="102">
        <f t="shared" si="0"/>
        <v>65.680000000000007</v>
      </c>
      <c r="J59" s="102">
        <f t="shared" si="1"/>
        <v>548.78</v>
      </c>
      <c r="K59" s="102">
        <f t="shared" si="2"/>
        <v>2472.5</v>
      </c>
      <c r="L59" s="102">
        <f t="shared" si="3"/>
        <v>3021.28</v>
      </c>
      <c r="M59" s="410">
        <v>0.25</v>
      </c>
      <c r="N59" s="408">
        <f t="shared" si="4"/>
        <v>3776.6</v>
      </c>
      <c r="O59" s="579">
        <f t="shared" si="5"/>
        <v>2.8680082909634591E-3</v>
      </c>
      <c r="P59" s="171">
        <f t="shared" si="6"/>
        <v>0.90401376340213513</v>
      </c>
      <c r="Q59" s="104"/>
      <c r="R59" s="359"/>
      <c r="S59" s="358"/>
    </row>
    <row r="60" spans="1:19" ht="30" x14ac:dyDescent="0.25">
      <c r="A60" s="524">
        <v>51</v>
      </c>
      <c r="B60" s="519" t="s">
        <v>115</v>
      </c>
      <c r="C60" s="519" t="s">
        <v>877</v>
      </c>
      <c r="D60" s="520" t="s">
        <v>878</v>
      </c>
      <c r="E60" s="525" t="s">
        <v>46</v>
      </c>
      <c r="F60" s="530">
        <v>22</v>
      </c>
      <c r="G60" s="102">
        <v>20.83</v>
      </c>
      <c r="H60" s="102">
        <v>112.92</v>
      </c>
      <c r="I60" s="102">
        <f t="shared" si="0"/>
        <v>133.75</v>
      </c>
      <c r="J60" s="102">
        <f t="shared" si="1"/>
        <v>458.26</v>
      </c>
      <c r="K60" s="102">
        <f t="shared" si="2"/>
        <v>2484.2399999999998</v>
      </c>
      <c r="L60" s="102">
        <f t="shared" si="3"/>
        <v>2942.5</v>
      </c>
      <c r="M60" s="410">
        <v>0.25</v>
      </c>
      <c r="N60" s="408">
        <f t="shared" si="4"/>
        <v>3678.13</v>
      </c>
      <c r="O60" s="579">
        <f t="shared" si="5"/>
        <v>2.7932286541443173E-3</v>
      </c>
      <c r="P60" s="171">
        <f t="shared" si="6"/>
        <v>0.90680699205627946</v>
      </c>
      <c r="Q60" s="104"/>
      <c r="R60" s="359"/>
      <c r="S60" s="358"/>
    </row>
    <row r="61" spans="1:19" ht="60" x14ac:dyDescent="0.25">
      <c r="A61" s="524">
        <v>52</v>
      </c>
      <c r="B61" s="518" t="s">
        <v>115</v>
      </c>
      <c r="C61" s="518" t="s">
        <v>493</v>
      </c>
      <c r="D61" s="520" t="s">
        <v>826</v>
      </c>
      <c r="E61" s="521" t="s">
        <v>46</v>
      </c>
      <c r="F61" s="530">
        <v>3</v>
      </c>
      <c r="G61" s="102">
        <v>65.89</v>
      </c>
      <c r="H61" s="102">
        <v>882.24</v>
      </c>
      <c r="I61" s="102">
        <f t="shared" si="0"/>
        <v>948.13</v>
      </c>
      <c r="J61" s="102">
        <f t="shared" si="1"/>
        <v>197.67</v>
      </c>
      <c r="K61" s="102">
        <f t="shared" si="2"/>
        <v>2646.72</v>
      </c>
      <c r="L61" s="102">
        <f t="shared" si="3"/>
        <v>2844.39</v>
      </c>
      <c r="M61" s="410">
        <v>0.25</v>
      </c>
      <c r="N61" s="408">
        <f t="shared" si="4"/>
        <v>3555.49</v>
      </c>
      <c r="O61" s="579">
        <f t="shared" si="5"/>
        <v>2.7000939465227107E-3</v>
      </c>
      <c r="P61" s="171">
        <f t="shared" si="6"/>
        <v>0.90950708600280217</v>
      </c>
      <c r="Q61" s="104"/>
      <c r="R61" s="359"/>
      <c r="S61" s="358"/>
    </row>
    <row r="62" spans="1:19" x14ac:dyDescent="0.25">
      <c r="A62" s="524">
        <v>53</v>
      </c>
      <c r="B62" s="519" t="s">
        <v>94</v>
      </c>
      <c r="C62" s="519">
        <v>93567</v>
      </c>
      <c r="D62" s="520" t="s">
        <v>533</v>
      </c>
      <c r="E62" s="525" t="s">
        <v>72</v>
      </c>
      <c r="F62" s="530">
        <v>3</v>
      </c>
      <c r="G62" s="102">
        <v>945.08050000000003</v>
      </c>
      <c r="H62" s="102">
        <v>0</v>
      </c>
      <c r="I62" s="102">
        <f t="shared" si="0"/>
        <v>945.08</v>
      </c>
      <c r="J62" s="102">
        <f t="shared" si="1"/>
        <v>2835.24</v>
      </c>
      <c r="K62" s="102">
        <f t="shared" si="2"/>
        <v>0</v>
      </c>
      <c r="L62" s="102">
        <f t="shared" si="3"/>
        <v>2835.24</v>
      </c>
      <c r="M62" s="410">
        <f>$F$6</f>
        <v>0.25</v>
      </c>
      <c r="N62" s="408">
        <f t="shared" si="4"/>
        <v>3544.05</v>
      </c>
      <c r="O62" s="579">
        <f t="shared" si="5"/>
        <v>2.6914062340700757E-3</v>
      </c>
      <c r="P62" s="171">
        <f t="shared" si="6"/>
        <v>0.91219849223687222</v>
      </c>
      <c r="Q62" s="104"/>
      <c r="R62" s="359"/>
      <c r="S62" s="358"/>
    </row>
    <row r="63" spans="1:19" ht="75" x14ac:dyDescent="0.25">
      <c r="A63" s="524">
        <v>54</v>
      </c>
      <c r="B63" s="519" t="s">
        <v>115</v>
      </c>
      <c r="C63" s="519" t="s">
        <v>777</v>
      </c>
      <c r="D63" s="559" t="s">
        <v>567</v>
      </c>
      <c r="E63" s="525" t="s">
        <v>46</v>
      </c>
      <c r="F63" s="530">
        <v>45</v>
      </c>
      <c r="G63" s="102">
        <v>19.899999999999999</v>
      </c>
      <c r="H63" s="102">
        <v>43.09</v>
      </c>
      <c r="I63" s="102">
        <f t="shared" si="0"/>
        <v>62.99</v>
      </c>
      <c r="J63" s="102">
        <f t="shared" si="1"/>
        <v>895.5</v>
      </c>
      <c r="K63" s="102">
        <f t="shared" si="2"/>
        <v>1939.05</v>
      </c>
      <c r="L63" s="102">
        <f t="shared" si="3"/>
        <v>2834.55</v>
      </c>
      <c r="M63" s="410">
        <v>0.25</v>
      </c>
      <c r="N63" s="408">
        <f t="shared" si="4"/>
        <v>3543.19</v>
      </c>
      <c r="O63" s="579">
        <f t="shared" si="5"/>
        <v>2.6907531368052799E-3</v>
      </c>
      <c r="P63" s="171">
        <f t="shared" si="6"/>
        <v>0.91488924537367755</v>
      </c>
      <c r="Q63" s="104"/>
      <c r="R63" s="359"/>
      <c r="S63" s="358"/>
    </row>
    <row r="64" spans="1:19" x14ac:dyDescent="0.25">
      <c r="A64" s="524">
        <v>55</v>
      </c>
      <c r="B64" s="519" t="s">
        <v>115</v>
      </c>
      <c r="C64" s="519" t="s">
        <v>524</v>
      </c>
      <c r="D64" s="520" t="s">
        <v>925</v>
      </c>
      <c r="E64" s="525" t="s">
        <v>46</v>
      </c>
      <c r="F64" s="530">
        <v>1</v>
      </c>
      <c r="G64" s="102">
        <v>71.94</v>
      </c>
      <c r="H64" s="102">
        <v>2532.6999999999998</v>
      </c>
      <c r="I64" s="102">
        <f t="shared" si="0"/>
        <v>2604.64</v>
      </c>
      <c r="J64" s="102">
        <f t="shared" si="1"/>
        <v>71.94</v>
      </c>
      <c r="K64" s="102">
        <f t="shared" si="2"/>
        <v>2532.6999999999998</v>
      </c>
      <c r="L64" s="102">
        <f t="shared" si="3"/>
        <v>2604.64</v>
      </c>
      <c r="M64" s="410">
        <v>0.25</v>
      </c>
      <c r="N64" s="408">
        <f t="shared" si="4"/>
        <v>3255.8</v>
      </c>
      <c r="O64" s="579">
        <f t="shared" si="5"/>
        <v>2.4725047380497883E-3</v>
      </c>
      <c r="P64" s="171">
        <f t="shared" si="6"/>
        <v>0.91736175011172738</v>
      </c>
      <c r="Q64" s="104"/>
      <c r="R64" s="359"/>
      <c r="S64" s="358"/>
    </row>
    <row r="65" spans="1:19" ht="60" x14ac:dyDescent="0.25">
      <c r="A65" s="524">
        <v>56</v>
      </c>
      <c r="B65" s="518" t="s">
        <v>115</v>
      </c>
      <c r="C65" s="518" t="s">
        <v>496</v>
      </c>
      <c r="D65" s="520" t="s">
        <v>829</v>
      </c>
      <c r="E65" s="521" t="s">
        <v>46</v>
      </c>
      <c r="F65" s="530">
        <v>2</v>
      </c>
      <c r="G65" s="102">
        <v>65.89</v>
      </c>
      <c r="H65" s="102">
        <v>1171.3</v>
      </c>
      <c r="I65" s="102">
        <f t="shared" si="0"/>
        <v>1237.19</v>
      </c>
      <c r="J65" s="102">
        <f t="shared" si="1"/>
        <v>131.78</v>
      </c>
      <c r="K65" s="102">
        <f t="shared" si="2"/>
        <v>2342.6</v>
      </c>
      <c r="L65" s="102">
        <f t="shared" si="3"/>
        <v>2474.38</v>
      </c>
      <c r="M65" s="410">
        <v>0.25</v>
      </c>
      <c r="N65" s="408">
        <f t="shared" si="4"/>
        <v>3092.98</v>
      </c>
      <c r="O65" s="579">
        <f t="shared" si="5"/>
        <v>2.3488567186845735E-3</v>
      </c>
      <c r="P65" s="171">
        <f t="shared" si="6"/>
        <v>0.91971060683041195</v>
      </c>
      <c r="Q65" s="104"/>
      <c r="R65" s="359"/>
      <c r="S65" s="358"/>
    </row>
    <row r="66" spans="1:19" x14ac:dyDescent="0.25">
      <c r="A66" s="524">
        <v>57</v>
      </c>
      <c r="B66" s="519" t="s">
        <v>115</v>
      </c>
      <c r="C66" s="519" t="s">
        <v>929</v>
      </c>
      <c r="D66" s="520" t="s">
        <v>128</v>
      </c>
      <c r="E66" s="521" t="s">
        <v>61</v>
      </c>
      <c r="F66" s="530">
        <v>505</v>
      </c>
      <c r="G66" s="102">
        <v>3.42</v>
      </c>
      <c r="H66" s="102">
        <v>1.0900000000000001</v>
      </c>
      <c r="I66" s="102">
        <f t="shared" si="0"/>
        <v>4.51</v>
      </c>
      <c r="J66" s="102">
        <f t="shared" si="1"/>
        <v>1727.1</v>
      </c>
      <c r="K66" s="102">
        <f t="shared" si="2"/>
        <v>550.45000000000005</v>
      </c>
      <c r="L66" s="102">
        <f t="shared" si="3"/>
        <v>2277.5500000000002</v>
      </c>
      <c r="M66" s="410">
        <v>0.25</v>
      </c>
      <c r="N66" s="408">
        <f t="shared" si="4"/>
        <v>2846.94</v>
      </c>
      <c r="O66" s="579">
        <f t="shared" si="5"/>
        <v>2.1620101477189831E-3</v>
      </c>
      <c r="P66" s="171">
        <f t="shared" si="6"/>
        <v>0.92187261697813094</v>
      </c>
      <c r="Q66" s="104"/>
      <c r="R66" s="359"/>
      <c r="S66" s="358"/>
    </row>
    <row r="67" spans="1:19" ht="30" x14ac:dyDescent="0.25">
      <c r="A67" s="524">
        <v>58</v>
      </c>
      <c r="B67" s="519" t="s">
        <v>94</v>
      </c>
      <c r="C67" s="519">
        <v>98302</v>
      </c>
      <c r="D67" s="559" t="s">
        <v>478</v>
      </c>
      <c r="E67" s="525" t="s">
        <v>46</v>
      </c>
      <c r="F67" s="530">
        <v>3</v>
      </c>
      <c r="G67" s="102">
        <v>192.96</v>
      </c>
      <c r="H67" s="102">
        <v>532.91999999999996</v>
      </c>
      <c r="I67" s="102">
        <f t="shared" si="0"/>
        <v>725.88</v>
      </c>
      <c r="J67" s="102">
        <f t="shared" si="1"/>
        <v>578.88</v>
      </c>
      <c r="K67" s="102">
        <f t="shared" si="2"/>
        <v>1598.76</v>
      </c>
      <c r="L67" s="102">
        <f t="shared" si="3"/>
        <v>2177.64</v>
      </c>
      <c r="M67" s="410">
        <v>0.25</v>
      </c>
      <c r="N67" s="408">
        <f t="shared" si="4"/>
        <v>2722.05</v>
      </c>
      <c r="O67" s="579">
        <f t="shared" si="5"/>
        <v>2.0671667553929687E-3</v>
      </c>
      <c r="P67" s="171">
        <f t="shared" si="6"/>
        <v>0.92393978373352392</v>
      </c>
      <c r="Q67" s="104"/>
      <c r="R67" s="359"/>
      <c r="S67" s="358"/>
    </row>
    <row r="68" spans="1:19" ht="60" x14ac:dyDescent="0.25">
      <c r="A68" s="524">
        <v>59</v>
      </c>
      <c r="B68" s="519" t="s">
        <v>115</v>
      </c>
      <c r="C68" s="519" t="s">
        <v>788</v>
      </c>
      <c r="D68" s="559" t="s">
        <v>791</v>
      </c>
      <c r="E68" s="525" t="s">
        <v>58</v>
      </c>
      <c r="F68" s="530">
        <v>219</v>
      </c>
      <c r="G68" s="102">
        <v>9.7200000000000006</v>
      </c>
      <c r="H68" s="102">
        <v>0.22</v>
      </c>
      <c r="I68" s="102">
        <f t="shared" si="0"/>
        <v>9.94</v>
      </c>
      <c r="J68" s="102">
        <f t="shared" si="1"/>
        <v>2128.6799999999998</v>
      </c>
      <c r="K68" s="102">
        <f t="shared" si="2"/>
        <v>48.18</v>
      </c>
      <c r="L68" s="102">
        <f t="shared" si="3"/>
        <v>2176.86</v>
      </c>
      <c r="M68" s="410">
        <v>0.25</v>
      </c>
      <c r="N68" s="408">
        <f t="shared" si="4"/>
        <v>2721.08</v>
      </c>
      <c r="O68" s="579">
        <f t="shared" si="5"/>
        <v>2.0664301224315122E-3</v>
      </c>
      <c r="P68" s="171">
        <f t="shared" si="6"/>
        <v>0.92600621385595538</v>
      </c>
      <c r="Q68" s="104"/>
      <c r="R68" s="359"/>
      <c r="S68" s="358"/>
    </row>
    <row r="69" spans="1:19" ht="75" x14ac:dyDescent="0.25">
      <c r="A69" s="524">
        <v>60</v>
      </c>
      <c r="B69" s="519" t="s">
        <v>115</v>
      </c>
      <c r="C69" s="519" t="s">
        <v>459</v>
      </c>
      <c r="D69" s="559" t="s">
        <v>909</v>
      </c>
      <c r="E69" s="525" t="s">
        <v>46</v>
      </c>
      <c r="F69" s="530">
        <v>21</v>
      </c>
      <c r="G69" s="102">
        <v>19.899999999999999</v>
      </c>
      <c r="H69" s="102">
        <v>83.12</v>
      </c>
      <c r="I69" s="102">
        <f t="shared" si="0"/>
        <v>103.02</v>
      </c>
      <c r="J69" s="102">
        <f t="shared" si="1"/>
        <v>417.9</v>
      </c>
      <c r="K69" s="102">
        <f t="shared" si="2"/>
        <v>1745.52</v>
      </c>
      <c r="L69" s="102">
        <f t="shared" si="3"/>
        <v>2163.42</v>
      </c>
      <c r="M69" s="410">
        <v>0.25</v>
      </c>
      <c r="N69" s="408">
        <f t="shared" si="4"/>
        <v>2704.28</v>
      </c>
      <c r="O69" s="579">
        <f t="shared" si="5"/>
        <v>2.053671943305265E-3</v>
      </c>
      <c r="P69" s="171">
        <f t="shared" si="6"/>
        <v>0.92805988579926069</v>
      </c>
      <c r="Q69" s="104"/>
      <c r="R69" s="359"/>
      <c r="S69" s="358"/>
    </row>
    <row r="70" spans="1:19" ht="60" x14ac:dyDescent="0.25">
      <c r="A70" s="524">
        <v>61</v>
      </c>
      <c r="B70" s="518" t="s">
        <v>115</v>
      </c>
      <c r="C70" s="518" t="s">
        <v>494</v>
      </c>
      <c r="D70" s="520" t="s">
        <v>828</v>
      </c>
      <c r="E70" s="521" t="s">
        <v>46</v>
      </c>
      <c r="F70" s="530">
        <v>2</v>
      </c>
      <c r="G70" s="102">
        <v>65.89</v>
      </c>
      <c r="H70" s="102">
        <v>970.73</v>
      </c>
      <c r="I70" s="102">
        <f t="shared" si="0"/>
        <v>1036.6199999999999</v>
      </c>
      <c r="J70" s="102">
        <f t="shared" si="1"/>
        <v>131.78</v>
      </c>
      <c r="K70" s="102">
        <f t="shared" si="2"/>
        <v>1941.46</v>
      </c>
      <c r="L70" s="102">
        <f t="shared" si="3"/>
        <v>2073.2399999999998</v>
      </c>
      <c r="M70" s="410">
        <v>0.25</v>
      </c>
      <c r="N70" s="408">
        <f t="shared" si="4"/>
        <v>2591.5500000000002</v>
      </c>
      <c r="O70" s="579">
        <f t="shared" si="5"/>
        <v>1.9680630425372965E-3</v>
      </c>
      <c r="P70" s="171">
        <f t="shared" si="6"/>
        <v>0.93002794884179796</v>
      </c>
      <c r="Q70" s="104"/>
      <c r="R70" s="359"/>
      <c r="S70" s="358"/>
    </row>
    <row r="71" spans="1:19" ht="30" x14ac:dyDescent="0.25">
      <c r="A71" s="524">
        <v>62</v>
      </c>
      <c r="B71" s="519" t="s">
        <v>115</v>
      </c>
      <c r="C71" s="519" t="s">
        <v>355</v>
      </c>
      <c r="D71" s="559" t="s">
        <v>767</v>
      </c>
      <c r="E71" s="525" t="s">
        <v>46</v>
      </c>
      <c r="F71" s="530">
        <v>24</v>
      </c>
      <c r="G71" s="102">
        <v>9.94</v>
      </c>
      <c r="H71" s="102">
        <v>70.48</v>
      </c>
      <c r="I71" s="102">
        <f t="shared" si="0"/>
        <v>80.42</v>
      </c>
      <c r="J71" s="102">
        <f t="shared" si="1"/>
        <v>238.56</v>
      </c>
      <c r="K71" s="102">
        <f t="shared" si="2"/>
        <v>1691.52</v>
      </c>
      <c r="L71" s="102">
        <f t="shared" si="3"/>
        <v>1930.08</v>
      </c>
      <c r="M71" s="410">
        <v>0.25</v>
      </c>
      <c r="N71" s="408">
        <f t="shared" si="4"/>
        <v>2412.6</v>
      </c>
      <c r="O71" s="579">
        <f t="shared" si="5"/>
        <v>1.8321656523800354E-3</v>
      </c>
      <c r="P71" s="171">
        <f t="shared" si="6"/>
        <v>0.93186011449417794</v>
      </c>
      <c r="Q71" s="104"/>
      <c r="R71" s="359"/>
      <c r="S71" s="358"/>
    </row>
    <row r="72" spans="1:19" ht="30" x14ac:dyDescent="0.25">
      <c r="A72" s="524">
        <v>63</v>
      </c>
      <c r="B72" s="519" t="s">
        <v>115</v>
      </c>
      <c r="C72" s="519" t="s">
        <v>364</v>
      </c>
      <c r="D72" s="559" t="s">
        <v>441</v>
      </c>
      <c r="E72" s="525" t="s">
        <v>46</v>
      </c>
      <c r="F72" s="530">
        <v>67</v>
      </c>
      <c r="G72" s="102">
        <v>28.02</v>
      </c>
      <c r="H72" s="102">
        <v>0.54</v>
      </c>
      <c r="I72" s="102">
        <f t="shared" si="0"/>
        <v>28.56</v>
      </c>
      <c r="J72" s="102">
        <f t="shared" si="1"/>
        <v>1877.34</v>
      </c>
      <c r="K72" s="102">
        <f t="shared" si="2"/>
        <v>36.18</v>
      </c>
      <c r="L72" s="102">
        <f t="shared" si="3"/>
        <v>1913.52</v>
      </c>
      <c r="M72" s="410">
        <v>0.25</v>
      </c>
      <c r="N72" s="408">
        <f t="shared" si="4"/>
        <v>2391.9</v>
      </c>
      <c r="O72" s="579">
        <f t="shared" si="5"/>
        <v>1.8164457530994806E-3</v>
      </c>
      <c r="P72" s="171">
        <f t="shared" si="6"/>
        <v>0.93367656024727741</v>
      </c>
      <c r="Q72" s="104"/>
      <c r="R72" s="359"/>
      <c r="S72" s="358"/>
    </row>
    <row r="73" spans="1:19" x14ac:dyDescent="0.25">
      <c r="A73" s="524">
        <v>64</v>
      </c>
      <c r="B73" s="519" t="s">
        <v>115</v>
      </c>
      <c r="C73" s="519" t="s">
        <v>465</v>
      </c>
      <c r="D73" s="559" t="s">
        <v>454</v>
      </c>
      <c r="E73" s="525" t="s">
        <v>46</v>
      </c>
      <c r="F73" s="530">
        <v>57</v>
      </c>
      <c r="G73" s="102">
        <v>3.98</v>
      </c>
      <c r="H73" s="102">
        <v>29.04</v>
      </c>
      <c r="I73" s="102">
        <f t="shared" si="0"/>
        <v>33.020000000000003</v>
      </c>
      <c r="J73" s="102">
        <f t="shared" si="1"/>
        <v>226.86</v>
      </c>
      <c r="K73" s="102">
        <f t="shared" si="2"/>
        <v>1655.28</v>
      </c>
      <c r="L73" s="102">
        <f t="shared" si="3"/>
        <v>1882.14</v>
      </c>
      <c r="M73" s="410">
        <v>0.25</v>
      </c>
      <c r="N73" s="408">
        <f t="shared" si="4"/>
        <v>2352.6799999999998</v>
      </c>
      <c r="O73" s="579">
        <f t="shared" si="5"/>
        <v>1.7866614801630861E-3</v>
      </c>
      <c r="P73" s="171">
        <f t="shared" si="6"/>
        <v>0.93546322172744045</v>
      </c>
      <c r="Q73" s="104"/>
      <c r="R73" s="359"/>
      <c r="S73" s="358"/>
    </row>
    <row r="74" spans="1:19" ht="30" x14ac:dyDescent="0.25">
      <c r="A74" s="524">
        <v>65</v>
      </c>
      <c r="B74" s="519" t="s">
        <v>94</v>
      </c>
      <c r="C74" s="519">
        <v>93655</v>
      </c>
      <c r="D74" s="559" t="s">
        <v>425</v>
      </c>
      <c r="E74" s="525" t="s">
        <v>46</v>
      </c>
      <c r="F74" s="530">
        <v>142</v>
      </c>
      <c r="G74" s="102">
        <v>2.0499999999999998</v>
      </c>
      <c r="H74" s="102">
        <v>11.17</v>
      </c>
      <c r="I74" s="102">
        <f t="shared" ref="I74:I137" si="7">+ROUND(G74+H74,2)</f>
        <v>13.22</v>
      </c>
      <c r="J74" s="102">
        <f t="shared" ref="J74:J137" si="8">ROUND(G74*F74,2)</f>
        <v>291.10000000000002</v>
      </c>
      <c r="K74" s="102">
        <f t="shared" ref="K74:K137" si="9">ROUND(H74*F74,2)</f>
        <v>1586.14</v>
      </c>
      <c r="L74" s="102">
        <f t="shared" ref="L74:L137" si="10">ROUND(I74*F74,2)</f>
        <v>1877.24</v>
      </c>
      <c r="M74" s="410">
        <v>0.25</v>
      </c>
      <c r="N74" s="408">
        <f t="shared" ref="N74:N137" si="11">ROUND(L74*(1+M74),2)</f>
        <v>2346.5500000000002</v>
      </c>
      <c r="O74" s="579">
        <f t="shared" si="5"/>
        <v>1.7820062636128545E-3</v>
      </c>
      <c r="P74" s="171">
        <f t="shared" si="6"/>
        <v>0.93724522799105325</v>
      </c>
      <c r="Q74" s="104"/>
      <c r="R74" s="359"/>
      <c r="S74" s="358"/>
    </row>
    <row r="75" spans="1:19" x14ac:dyDescent="0.25">
      <c r="A75" s="524">
        <v>66</v>
      </c>
      <c r="B75" s="519" t="s">
        <v>94</v>
      </c>
      <c r="C75" s="519">
        <v>98262</v>
      </c>
      <c r="D75" s="559" t="s">
        <v>802</v>
      </c>
      <c r="E75" s="525" t="s">
        <v>58</v>
      </c>
      <c r="F75" s="530">
        <v>510</v>
      </c>
      <c r="G75" s="102">
        <v>2.0299999999999998</v>
      </c>
      <c r="H75" s="102">
        <v>1.62</v>
      </c>
      <c r="I75" s="102">
        <f t="shared" si="7"/>
        <v>3.65</v>
      </c>
      <c r="J75" s="102">
        <f t="shared" si="8"/>
        <v>1035.3</v>
      </c>
      <c r="K75" s="102">
        <f t="shared" si="9"/>
        <v>826.2</v>
      </c>
      <c r="L75" s="102">
        <f t="shared" si="10"/>
        <v>1861.5</v>
      </c>
      <c r="M75" s="410">
        <v>0.25</v>
      </c>
      <c r="N75" s="408">
        <f t="shared" si="11"/>
        <v>2326.88</v>
      </c>
      <c r="O75" s="579">
        <f t="shared" ref="O75:O138" si="12">N75/$N$219</f>
        <v>1.7670685622192062E-3</v>
      </c>
      <c r="P75" s="171">
        <f t="shared" si="6"/>
        <v>0.93901229655327245</v>
      </c>
      <c r="Q75" s="104"/>
      <c r="R75" s="359"/>
      <c r="S75" s="358"/>
    </row>
    <row r="76" spans="1:19" ht="30" x14ac:dyDescent="0.25">
      <c r="A76" s="524">
        <v>67</v>
      </c>
      <c r="B76" s="518" t="s">
        <v>115</v>
      </c>
      <c r="C76" s="522" t="s">
        <v>867</v>
      </c>
      <c r="D76" s="520" t="s">
        <v>517</v>
      </c>
      <c r="E76" s="521" t="s">
        <v>46</v>
      </c>
      <c r="F76" s="530">
        <v>1</v>
      </c>
      <c r="G76" s="102">
        <v>1368.8</v>
      </c>
      <c r="H76" s="102">
        <v>355</v>
      </c>
      <c r="I76" s="102">
        <f t="shared" si="7"/>
        <v>1723.8</v>
      </c>
      <c r="J76" s="102">
        <f t="shared" si="8"/>
        <v>1368.8</v>
      </c>
      <c r="K76" s="102">
        <f t="shared" si="9"/>
        <v>355</v>
      </c>
      <c r="L76" s="102">
        <f t="shared" si="10"/>
        <v>1723.8</v>
      </c>
      <c r="M76" s="410">
        <v>0.25</v>
      </c>
      <c r="N76" s="408">
        <f t="shared" si="11"/>
        <v>2154.75</v>
      </c>
      <c r="O76" s="579">
        <f t="shared" si="12"/>
        <v>1.6363503852548625E-3</v>
      </c>
      <c r="P76" s="171">
        <f t="shared" ref="P76:P139" si="13">P75+O76</f>
        <v>0.94064864693852734</v>
      </c>
      <c r="Q76" s="104"/>
      <c r="R76" s="359"/>
      <c r="S76" s="358"/>
    </row>
    <row r="77" spans="1:19" ht="30" x14ac:dyDescent="0.25">
      <c r="A77" s="524">
        <v>68</v>
      </c>
      <c r="B77" s="518" t="s">
        <v>115</v>
      </c>
      <c r="C77" s="518" t="s">
        <v>928</v>
      </c>
      <c r="D77" s="520" t="s">
        <v>518</v>
      </c>
      <c r="E77" s="521" t="s">
        <v>46</v>
      </c>
      <c r="F77" s="530">
        <v>1</v>
      </c>
      <c r="G77" s="102">
        <v>1711</v>
      </c>
      <c r="H77" s="102">
        <v>0</v>
      </c>
      <c r="I77" s="102">
        <f t="shared" si="7"/>
        <v>1711</v>
      </c>
      <c r="J77" s="102">
        <f t="shared" si="8"/>
        <v>1711</v>
      </c>
      <c r="K77" s="102">
        <f t="shared" si="9"/>
        <v>0</v>
      </c>
      <c r="L77" s="102">
        <f t="shared" si="10"/>
        <v>1711</v>
      </c>
      <c r="M77" s="410">
        <v>0.25</v>
      </c>
      <c r="N77" s="408">
        <f t="shared" si="11"/>
        <v>2138.75</v>
      </c>
      <c r="O77" s="579">
        <f t="shared" si="12"/>
        <v>1.6241997384679602E-3</v>
      </c>
      <c r="P77" s="171">
        <f t="shared" si="13"/>
        <v>0.94227284667699529</v>
      </c>
      <c r="Q77" s="104"/>
      <c r="R77" s="359"/>
      <c r="S77" s="358"/>
    </row>
    <row r="78" spans="1:19" ht="30" x14ac:dyDescent="0.25">
      <c r="A78" s="524">
        <v>69</v>
      </c>
      <c r="B78" s="519" t="s">
        <v>115</v>
      </c>
      <c r="C78" s="519">
        <f>A78</f>
        <v>69</v>
      </c>
      <c r="D78" s="520" t="s">
        <v>537</v>
      </c>
      <c r="E78" s="521" t="s">
        <v>72</v>
      </c>
      <c r="F78" s="530">
        <v>3</v>
      </c>
      <c r="G78" s="102">
        <v>0</v>
      </c>
      <c r="H78" s="102">
        <v>570</v>
      </c>
      <c r="I78" s="102">
        <f t="shared" si="7"/>
        <v>570</v>
      </c>
      <c r="J78" s="102">
        <f t="shared" si="8"/>
        <v>0</v>
      </c>
      <c r="K78" s="102">
        <f t="shared" si="9"/>
        <v>1710</v>
      </c>
      <c r="L78" s="102">
        <f t="shared" si="10"/>
        <v>1710</v>
      </c>
      <c r="M78" s="410">
        <f>$F$6</f>
        <v>0.25</v>
      </c>
      <c r="N78" s="408">
        <f t="shared" si="11"/>
        <v>2137.5</v>
      </c>
      <c r="O78" s="579">
        <f t="shared" si="12"/>
        <v>1.6232504691877335E-3</v>
      </c>
      <c r="P78" s="171">
        <f t="shared" si="13"/>
        <v>0.94389609714618306</v>
      </c>
      <c r="Q78" s="104"/>
      <c r="R78" s="359"/>
      <c r="S78" s="358"/>
    </row>
    <row r="79" spans="1:19" ht="30" x14ac:dyDescent="0.25">
      <c r="A79" s="524">
        <v>70</v>
      </c>
      <c r="B79" s="519" t="s">
        <v>115</v>
      </c>
      <c r="C79" s="519">
        <f>A79</f>
        <v>70</v>
      </c>
      <c r="D79" s="520" t="s">
        <v>148</v>
      </c>
      <c r="E79" s="525" t="s">
        <v>46</v>
      </c>
      <c r="F79" s="530">
        <v>6</v>
      </c>
      <c r="G79" s="102">
        <v>0</v>
      </c>
      <c r="H79" s="102">
        <v>280</v>
      </c>
      <c r="I79" s="102">
        <f t="shared" si="7"/>
        <v>280</v>
      </c>
      <c r="J79" s="102">
        <f t="shared" si="8"/>
        <v>0</v>
      </c>
      <c r="K79" s="102">
        <f t="shared" si="9"/>
        <v>1680</v>
      </c>
      <c r="L79" s="102">
        <f t="shared" si="10"/>
        <v>1680</v>
      </c>
      <c r="M79" s="410">
        <f>$F$6</f>
        <v>0.25</v>
      </c>
      <c r="N79" s="408">
        <f t="shared" si="11"/>
        <v>2100</v>
      </c>
      <c r="O79" s="579">
        <f t="shared" si="12"/>
        <v>1.5947723907809312E-3</v>
      </c>
      <c r="P79" s="171">
        <f t="shared" si="13"/>
        <v>0.94549086953696404</v>
      </c>
      <c r="Q79" s="104"/>
      <c r="R79" s="359"/>
      <c r="S79" s="358"/>
    </row>
    <row r="80" spans="1:19" ht="60" x14ac:dyDescent="0.25">
      <c r="A80" s="524">
        <v>71</v>
      </c>
      <c r="B80" s="518" t="s">
        <v>115</v>
      </c>
      <c r="C80" s="518" t="s">
        <v>498</v>
      </c>
      <c r="D80" s="520" t="s">
        <v>832</v>
      </c>
      <c r="E80" s="521" t="s">
        <v>46</v>
      </c>
      <c r="F80" s="530">
        <v>4</v>
      </c>
      <c r="G80" s="102">
        <v>65.89</v>
      </c>
      <c r="H80" s="102">
        <v>353.92</v>
      </c>
      <c r="I80" s="102">
        <f t="shared" si="7"/>
        <v>419.81</v>
      </c>
      <c r="J80" s="102">
        <f t="shared" si="8"/>
        <v>263.56</v>
      </c>
      <c r="K80" s="102">
        <f t="shared" si="9"/>
        <v>1415.68</v>
      </c>
      <c r="L80" s="102">
        <f t="shared" si="10"/>
        <v>1679.24</v>
      </c>
      <c r="M80" s="410">
        <v>0.25</v>
      </c>
      <c r="N80" s="408">
        <f t="shared" si="11"/>
        <v>2099.0500000000002</v>
      </c>
      <c r="O80" s="579">
        <f t="shared" si="12"/>
        <v>1.594050946127959E-3</v>
      </c>
      <c r="P80" s="171">
        <f t="shared" si="13"/>
        <v>0.94708492048309201</v>
      </c>
      <c r="Q80" s="104"/>
      <c r="R80" s="359"/>
      <c r="S80" s="358"/>
    </row>
    <row r="81" spans="1:19" x14ac:dyDescent="0.25">
      <c r="A81" s="524">
        <v>72</v>
      </c>
      <c r="B81" s="519" t="s">
        <v>115</v>
      </c>
      <c r="C81" s="519" t="s">
        <v>464</v>
      </c>
      <c r="D81" s="559" t="s">
        <v>453</v>
      </c>
      <c r="E81" s="525" t="s">
        <v>46</v>
      </c>
      <c r="F81" s="530">
        <v>57</v>
      </c>
      <c r="G81" s="102">
        <v>3.98</v>
      </c>
      <c r="H81" s="102">
        <v>25.31</v>
      </c>
      <c r="I81" s="102">
        <f t="shared" si="7"/>
        <v>29.29</v>
      </c>
      <c r="J81" s="102">
        <f t="shared" si="8"/>
        <v>226.86</v>
      </c>
      <c r="K81" s="102">
        <f t="shared" si="9"/>
        <v>1442.67</v>
      </c>
      <c r="L81" s="102">
        <f t="shared" si="10"/>
        <v>1669.53</v>
      </c>
      <c r="M81" s="410">
        <v>0.25</v>
      </c>
      <c r="N81" s="408">
        <f t="shared" si="11"/>
        <v>2086.91</v>
      </c>
      <c r="O81" s="579">
        <f t="shared" si="12"/>
        <v>1.5848316428783964E-3</v>
      </c>
      <c r="P81" s="171">
        <f t="shared" si="13"/>
        <v>0.94866975212597038</v>
      </c>
      <c r="Q81" s="104"/>
      <c r="R81" s="359"/>
      <c r="S81" s="358"/>
    </row>
    <row r="82" spans="1:19" ht="30" x14ac:dyDescent="0.25">
      <c r="A82" s="524">
        <v>73</v>
      </c>
      <c r="B82" s="519" t="s">
        <v>115</v>
      </c>
      <c r="C82" s="519" t="s">
        <v>774</v>
      </c>
      <c r="D82" s="559" t="s">
        <v>446</v>
      </c>
      <c r="E82" s="525" t="s">
        <v>58</v>
      </c>
      <c r="F82" s="530">
        <v>173</v>
      </c>
      <c r="G82" s="102">
        <v>1.59</v>
      </c>
      <c r="H82" s="102">
        <v>7.78</v>
      </c>
      <c r="I82" s="102">
        <f t="shared" si="7"/>
        <v>9.3699999999999992</v>
      </c>
      <c r="J82" s="102">
        <f t="shared" si="8"/>
        <v>275.07</v>
      </c>
      <c r="K82" s="102">
        <f t="shared" si="9"/>
        <v>1345.94</v>
      </c>
      <c r="L82" s="102">
        <f t="shared" si="10"/>
        <v>1621.01</v>
      </c>
      <c r="M82" s="410">
        <v>0.25</v>
      </c>
      <c r="N82" s="408">
        <f t="shared" si="11"/>
        <v>2026.26</v>
      </c>
      <c r="O82" s="579">
        <f t="shared" si="12"/>
        <v>1.538773097401795E-3</v>
      </c>
      <c r="P82" s="171">
        <f t="shared" si="13"/>
        <v>0.95020852522337218</v>
      </c>
      <c r="Q82" s="104"/>
      <c r="R82" s="359"/>
      <c r="S82" s="358"/>
    </row>
    <row r="83" spans="1:19" x14ac:dyDescent="0.25">
      <c r="A83" s="524">
        <v>74</v>
      </c>
      <c r="B83" s="519" t="s">
        <v>115</v>
      </c>
      <c r="C83" s="519">
        <f>A83</f>
        <v>74</v>
      </c>
      <c r="D83" s="520" t="s">
        <v>623</v>
      </c>
      <c r="E83" s="525" t="s">
        <v>46</v>
      </c>
      <c r="F83" s="530">
        <v>1</v>
      </c>
      <c r="G83" s="102">
        <v>1620.6</v>
      </c>
      <c r="H83" s="102">
        <v>0</v>
      </c>
      <c r="I83" s="102">
        <f t="shared" si="7"/>
        <v>1620.6</v>
      </c>
      <c r="J83" s="102">
        <f t="shared" si="8"/>
        <v>1620.6</v>
      </c>
      <c r="K83" s="102">
        <f t="shared" si="9"/>
        <v>0</v>
      </c>
      <c r="L83" s="102">
        <f t="shared" si="10"/>
        <v>1620.6</v>
      </c>
      <c r="M83" s="410">
        <f>$F$6</f>
        <v>0.25</v>
      </c>
      <c r="N83" s="408">
        <f t="shared" si="11"/>
        <v>2025.75</v>
      </c>
      <c r="O83" s="579">
        <f t="shared" si="12"/>
        <v>1.5383857955354626E-3</v>
      </c>
      <c r="P83" s="171">
        <f t="shared" si="13"/>
        <v>0.95174691101890763</v>
      </c>
      <c r="Q83" s="104"/>
      <c r="R83" s="359"/>
      <c r="S83" s="358"/>
    </row>
    <row r="84" spans="1:19" ht="30" x14ac:dyDescent="0.25">
      <c r="A84" s="524">
        <v>75</v>
      </c>
      <c r="B84" s="519" t="s">
        <v>115</v>
      </c>
      <c r="C84" s="519" t="s">
        <v>337</v>
      </c>
      <c r="D84" s="520" t="s">
        <v>728</v>
      </c>
      <c r="E84" s="525" t="s">
        <v>61</v>
      </c>
      <c r="F84" s="530">
        <v>18</v>
      </c>
      <c r="G84" s="102">
        <v>24.11</v>
      </c>
      <c r="H84" s="102">
        <v>65.540000000000006</v>
      </c>
      <c r="I84" s="102">
        <f t="shared" si="7"/>
        <v>89.65</v>
      </c>
      <c r="J84" s="102">
        <f t="shared" si="8"/>
        <v>433.98</v>
      </c>
      <c r="K84" s="102">
        <f t="shared" si="9"/>
        <v>1179.72</v>
      </c>
      <c r="L84" s="102">
        <f t="shared" si="10"/>
        <v>1613.7</v>
      </c>
      <c r="M84" s="410">
        <v>0.25</v>
      </c>
      <c r="N84" s="408">
        <f t="shared" si="11"/>
        <v>2017.13</v>
      </c>
      <c r="O84" s="579">
        <f t="shared" si="12"/>
        <v>1.531839634579019E-3</v>
      </c>
      <c r="P84" s="171">
        <f t="shared" si="13"/>
        <v>0.95327875065348666</v>
      </c>
      <c r="Q84" s="104"/>
      <c r="R84" s="359"/>
      <c r="S84" s="358"/>
    </row>
    <row r="85" spans="1:19" x14ac:dyDescent="0.25">
      <c r="A85" s="524">
        <v>76</v>
      </c>
      <c r="B85" s="519" t="s">
        <v>115</v>
      </c>
      <c r="C85" s="519" t="s">
        <v>523</v>
      </c>
      <c r="D85" s="520" t="s">
        <v>749</v>
      </c>
      <c r="E85" s="525" t="s">
        <v>46</v>
      </c>
      <c r="F85" s="530">
        <v>2</v>
      </c>
      <c r="G85" s="102">
        <v>46.17</v>
      </c>
      <c r="H85" s="102">
        <v>744.76</v>
      </c>
      <c r="I85" s="102">
        <f t="shared" si="7"/>
        <v>790.93</v>
      </c>
      <c r="J85" s="102">
        <f t="shared" si="8"/>
        <v>92.34</v>
      </c>
      <c r="K85" s="102">
        <f t="shared" si="9"/>
        <v>1489.52</v>
      </c>
      <c r="L85" s="102">
        <f t="shared" si="10"/>
        <v>1581.86</v>
      </c>
      <c r="M85" s="410">
        <v>0.25</v>
      </c>
      <c r="N85" s="408">
        <f t="shared" si="11"/>
        <v>1977.33</v>
      </c>
      <c r="O85" s="579">
        <f t="shared" si="12"/>
        <v>1.5016149006965992E-3</v>
      </c>
      <c r="P85" s="171">
        <f t="shared" si="13"/>
        <v>0.95478036555418322</v>
      </c>
      <c r="Q85" s="104"/>
      <c r="R85" s="359"/>
      <c r="S85" s="358"/>
    </row>
    <row r="86" spans="1:19" ht="45" x14ac:dyDescent="0.25">
      <c r="A86" s="524">
        <v>77</v>
      </c>
      <c r="B86" s="518" t="s">
        <v>115</v>
      </c>
      <c r="C86" s="518" t="s">
        <v>741</v>
      </c>
      <c r="D86" s="520" t="s">
        <v>746</v>
      </c>
      <c r="E86" s="521" t="s">
        <v>46</v>
      </c>
      <c r="F86" s="530">
        <v>4</v>
      </c>
      <c r="G86" s="102">
        <v>42.41</v>
      </c>
      <c r="H86" s="102">
        <v>350</v>
      </c>
      <c r="I86" s="102">
        <f t="shared" si="7"/>
        <v>392.41</v>
      </c>
      <c r="J86" s="102">
        <f t="shared" si="8"/>
        <v>169.64</v>
      </c>
      <c r="K86" s="102">
        <f t="shared" si="9"/>
        <v>1400</v>
      </c>
      <c r="L86" s="102">
        <f t="shared" si="10"/>
        <v>1569.64</v>
      </c>
      <c r="M86" s="410">
        <v>0.25</v>
      </c>
      <c r="N86" s="408">
        <f t="shared" si="11"/>
        <v>1962.05</v>
      </c>
      <c r="O86" s="579">
        <f t="shared" si="12"/>
        <v>1.4900110330151076E-3</v>
      </c>
      <c r="P86" s="171">
        <f t="shared" si="13"/>
        <v>0.95627037658719838</v>
      </c>
      <c r="Q86" s="104"/>
      <c r="R86" s="359"/>
      <c r="S86" s="358"/>
    </row>
    <row r="87" spans="1:19" x14ac:dyDescent="0.25">
      <c r="A87" s="524">
        <v>78</v>
      </c>
      <c r="B87" s="519" t="s">
        <v>94</v>
      </c>
      <c r="C87" s="519">
        <v>101390</v>
      </c>
      <c r="D87" s="520" t="s">
        <v>132</v>
      </c>
      <c r="E87" s="525" t="s">
        <v>72</v>
      </c>
      <c r="F87" s="530">
        <v>3</v>
      </c>
      <c r="G87" s="102">
        <v>477.22</v>
      </c>
      <c r="H87" s="102">
        <v>0</v>
      </c>
      <c r="I87" s="102">
        <f t="shared" si="7"/>
        <v>477.22</v>
      </c>
      <c r="J87" s="102">
        <f t="shared" si="8"/>
        <v>1431.66</v>
      </c>
      <c r="K87" s="102">
        <f t="shared" si="9"/>
        <v>0</v>
      </c>
      <c r="L87" s="102">
        <f t="shared" si="10"/>
        <v>1431.66</v>
      </c>
      <c r="M87" s="410">
        <f>$F$6</f>
        <v>0.25</v>
      </c>
      <c r="N87" s="408">
        <f t="shared" si="11"/>
        <v>1789.58</v>
      </c>
      <c r="O87" s="579">
        <f t="shared" si="12"/>
        <v>1.3590346548065422E-3</v>
      </c>
      <c r="P87" s="171">
        <f t="shared" si="13"/>
        <v>0.95762941124200496</v>
      </c>
      <c r="Q87" s="104"/>
      <c r="R87" s="359"/>
      <c r="S87" s="358"/>
    </row>
    <row r="88" spans="1:19" ht="30" x14ac:dyDescent="0.25">
      <c r="A88" s="524">
        <v>79</v>
      </c>
      <c r="B88" s="519" t="s">
        <v>94</v>
      </c>
      <c r="C88" s="519">
        <v>91930</v>
      </c>
      <c r="D88" s="559" t="s">
        <v>780</v>
      </c>
      <c r="E88" s="525" t="s">
        <v>58</v>
      </c>
      <c r="F88" s="530">
        <v>150</v>
      </c>
      <c r="G88" s="102">
        <v>1.61</v>
      </c>
      <c r="H88" s="102">
        <v>7.57</v>
      </c>
      <c r="I88" s="102">
        <f t="shared" si="7"/>
        <v>9.18</v>
      </c>
      <c r="J88" s="102">
        <f t="shared" si="8"/>
        <v>241.5</v>
      </c>
      <c r="K88" s="102">
        <f t="shared" si="9"/>
        <v>1135.5</v>
      </c>
      <c r="L88" s="102">
        <f t="shared" si="10"/>
        <v>1377</v>
      </c>
      <c r="M88" s="410">
        <v>0.25</v>
      </c>
      <c r="N88" s="408">
        <f t="shared" si="11"/>
        <v>1721.25</v>
      </c>
      <c r="O88" s="579">
        <f t="shared" si="12"/>
        <v>1.3071437988722275E-3</v>
      </c>
      <c r="P88" s="171">
        <f t="shared" si="13"/>
        <v>0.95893655504087716</v>
      </c>
      <c r="Q88" s="104"/>
      <c r="R88" s="359"/>
      <c r="S88" s="358"/>
    </row>
    <row r="89" spans="1:19" ht="60" x14ac:dyDescent="0.25">
      <c r="A89" s="524">
        <v>80</v>
      </c>
      <c r="B89" s="518" t="s">
        <v>115</v>
      </c>
      <c r="C89" s="518" t="s">
        <v>495</v>
      </c>
      <c r="D89" s="520" t="s">
        <v>513</v>
      </c>
      <c r="E89" s="521" t="s">
        <v>46</v>
      </c>
      <c r="F89" s="530">
        <v>2</v>
      </c>
      <c r="G89" s="102">
        <v>65.89</v>
      </c>
      <c r="H89" s="102">
        <v>573.03</v>
      </c>
      <c r="I89" s="102">
        <f t="shared" si="7"/>
        <v>638.91999999999996</v>
      </c>
      <c r="J89" s="102">
        <f t="shared" si="8"/>
        <v>131.78</v>
      </c>
      <c r="K89" s="102">
        <f t="shared" si="9"/>
        <v>1146.06</v>
      </c>
      <c r="L89" s="102">
        <f t="shared" si="10"/>
        <v>1277.8399999999999</v>
      </c>
      <c r="M89" s="410">
        <v>0.25</v>
      </c>
      <c r="N89" s="408">
        <f t="shared" si="11"/>
        <v>1597.3</v>
      </c>
      <c r="O89" s="579">
        <f t="shared" si="12"/>
        <v>1.2130142570449434E-3</v>
      </c>
      <c r="P89" s="171">
        <f t="shared" si="13"/>
        <v>0.96014956929792206</v>
      </c>
      <c r="Q89" s="104"/>
      <c r="R89" s="359"/>
      <c r="S89" s="358"/>
    </row>
    <row r="90" spans="1:19" ht="60" x14ac:dyDescent="0.25">
      <c r="A90" s="524">
        <v>81</v>
      </c>
      <c r="B90" s="518" t="s">
        <v>115</v>
      </c>
      <c r="C90" s="518" t="s">
        <v>843</v>
      </c>
      <c r="D90" s="520" t="s">
        <v>514</v>
      </c>
      <c r="E90" s="521" t="s">
        <v>46</v>
      </c>
      <c r="F90" s="530">
        <v>3</v>
      </c>
      <c r="G90" s="102">
        <v>87.84</v>
      </c>
      <c r="H90" s="102">
        <v>329.2</v>
      </c>
      <c r="I90" s="102">
        <f t="shared" si="7"/>
        <v>417.04</v>
      </c>
      <c r="J90" s="102">
        <f t="shared" si="8"/>
        <v>263.52</v>
      </c>
      <c r="K90" s="102">
        <f t="shared" si="9"/>
        <v>987.6</v>
      </c>
      <c r="L90" s="102">
        <f t="shared" si="10"/>
        <v>1251.1199999999999</v>
      </c>
      <c r="M90" s="410">
        <v>0.25</v>
      </c>
      <c r="N90" s="408">
        <f t="shared" si="11"/>
        <v>1563.9</v>
      </c>
      <c r="O90" s="579">
        <f t="shared" si="12"/>
        <v>1.187649781877285E-3</v>
      </c>
      <c r="P90" s="171">
        <f t="shared" si="13"/>
        <v>0.9613372190797993</v>
      </c>
      <c r="Q90" s="104"/>
      <c r="R90" s="359"/>
      <c r="S90" s="358"/>
    </row>
    <row r="91" spans="1:19" ht="30" x14ac:dyDescent="0.25">
      <c r="A91" s="524">
        <v>82</v>
      </c>
      <c r="B91" s="519" t="s">
        <v>115</v>
      </c>
      <c r="C91" s="519" t="s">
        <v>775</v>
      </c>
      <c r="D91" s="559" t="s">
        <v>433</v>
      </c>
      <c r="E91" s="525" t="s">
        <v>46</v>
      </c>
      <c r="F91" s="530">
        <v>115</v>
      </c>
      <c r="G91" s="102">
        <v>2.85</v>
      </c>
      <c r="H91" s="102">
        <v>7.93</v>
      </c>
      <c r="I91" s="102">
        <f t="shared" si="7"/>
        <v>10.78</v>
      </c>
      <c r="J91" s="102">
        <f t="shared" si="8"/>
        <v>327.75</v>
      </c>
      <c r="K91" s="102">
        <f t="shared" si="9"/>
        <v>911.95</v>
      </c>
      <c r="L91" s="102">
        <f t="shared" si="10"/>
        <v>1239.7</v>
      </c>
      <c r="M91" s="410">
        <v>0.25</v>
      </c>
      <c r="N91" s="408">
        <f t="shared" si="11"/>
        <v>1549.63</v>
      </c>
      <c r="O91" s="579">
        <f t="shared" si="12"/>
        <v>1.1768129237742164E-3</v>
      </c>
      <c r="P91" s="171">
        <f t="shared" si="13"/>
        <v>0.96251403200357355</v>
      </c>
      <c r="Q91" s="104"/>
      <c r="R91" s="359"/>
      <c r="S91" s="358"/>
    </row>
    <row r="92" spans="1:19" ht="30" x14ac:dyDescent="0.25">
      <c r="A92" s="524">
        <v>83</v>
      </c>
      <c r="B92" s="519" t="s">
        <v>94</v>
      </c>
      <c r="C92" s="519">
        <v>93654</v>
      </c>
      <c r="D92" s="559" t="s">
        <v>424</v>
      </c>
      <c r="E92" s="525" t="s">
        <v>46</v>
      </c>
      <c r="F92" s="530">
        <v>100</v>
      </c>
      <c r="G92" s="102">
        <v>1.46</v>
      </c>
      <c r="H92" s="102">
        <v>10.74</v>
      </c>
      <c r="I92" s="102">
        <f t="shared" si="7"/>
        <v>12.2</v>
      </c>
      <c r="J92" s="102">
        <f t="shared" si="8"/>
        <v>146</v>
      </c>
      <c r="K92" s="102">
        <f t="shared" si="9"/>
        <v>1074</v>
      </c>
      <c r="L92" s="102">
        <f t="shared" si="10"/>
        <v>1220</v>
      </c>
      <c r="M92" s="410">
        <v>0.25</v>
      </c>
      <c r="N92" s="408">
        <f t="shared" si="11"/>
        <v>1525</v>
      </c>
      <c r="O92" s="579">
        <f t="shared" si="12"/>
        <v>1.1581085218766286E-3</v>
      </c>
      <c r="P92" s="171">
        <f t="shared" si="13"/>
        <v>0.96367214052545014</v>
      </c>
      <c r="Q92" s="104"/>
      <c r="R92" s="359"/>
      <c r="S92" s="358"/>
    </row>
    <row r="93" spans="1:19" x14ac:dyDescent="0.25">
      <c r="A93" s="524">
        <v>84</v>
      </c>
      <c r="B93" s="519" t="s">
        <v>115</v>
      </c>
      <c r="C93" s="519" t="s">
        <v>731</v>
      </c>
      <c r="D93" s="520" t="s">
        <v>891</v>
      </c>
      <c r="E93" s="525" t="s">
        <v>46</v>
      </c>
      <c r="F93" s="530">
        <v>4</v>
      </c>
      <c r="G93" s="102">
        <v>29.78</v>
      </c>
      <c r="H93" s="102">
        <v>269</v>
      </c>
      <c r="I93" s="102">
        <f t="shared" si="7"/>
        <v>298.77999999999997</v>
      </c>
      <c r="J93" s="102">
        <f t="shared" si="8"/>
        <v>119.12</v>
      </c>
      <c r="K93" s="102">
        <f t="shared" si="9"/>
        <v>1076</v>
      </c>
      <c r="L93" s="102">
        <f t="shared" si="10"/>
        <v>1195.1199999999999</v>
      </c>
      <c r="M93" s="410">
        <v>0.25</v>
      </c>
      <c r="N93" s="408">
        <f t="shared" si="11"/>
        <v>1493.9</v>
      </c>
      <c r="O93" s="579">
        <f t="shared" si="12"/>
        <v>1.1344907021845873E-3</v>
      </c>
      <c r="P93" s="171">
        <f t="shared" si="13"/>
        <v>0.96480663122763477</v>
      </c>
      <c r="Q93" s="104"/>
      <c r="R93" s="359"/>
      <c r="S93" s="358"/>
    </row>
    <row r="94" spans="1:19" ht="30" x14ac:dyDescent="0.25">
      <c r="A94" s="524">
        <v>85</v>
      </c>
      <c r="B94" s="519" t="s">
        <v>94</v>
      </c>
      <c r="C94" s="519">
        <v>93663</v>
      </c>
      <c r="D94" s="559" t="s">
        <v>757</v>
      </c>
      <c r="E94" s="525" t="s">
        <v>46</v>
      </c>
      <c r="F94" s="530">
        <v>19</v>
      </c>
      <c r="G94" s="102">
        <v>4.0999999999999996</v>
      </c>
      <c r="H94" s="102">
        <v>57.51</v>
      </c>
      <c r="I94" s="102">
        <f t="shared" si="7"/>
        <v>61.61</v>
      </c>
      <c r="J94" s="102">
        <f t="shared" si="8"/>
        <v>77.900000000000006</v>
      </c>
      <c r="K94" s="102">
        <f t="shared" si="9"/>
        <v>1092.69</v>
      </c>
      <c r="L94" s="102">
        <f t="shared" si="10"/>
        <v>1170.5899999999999</v>
      </c>
      <c r="M94" s="410">
        <v>0.25</v>
      </c>
      <c r="N94" s="408">
        <f t="shared" si="11"/>
        <v>1463.24</v>
      </c>
      <c r="O94" s="579">
        <f t="shared" si="12"/>
        <v>1.1112070252791856E-3</v>
      </c>
      <c r="P94" s="171">
        <f t="shared" si="13"/>
        <v>0.965917838252914</v>
      </c>
      <c r="Q94" s="104"/>
      <c r="R94" s="359"/>
      <c r="S94" s="358"/>
    </row>
    <row r="95" spans="1:19" ht="60" x14ac:dyDescent="0.25">
      <c r="A95" s="524">
        <v>86</v>
      </c>
      <c r="B95" s="519" t="s">
        <v>115</v>
      </c>
      <c r="C95" s="519" t="s">
        <v>458</v>
      </c>
      <c r="D95" s="559" t="s">
        <v>907</v>
      </c>
      <c r="E95" s="525" t="s">
        <v>46</v>
      </c>
      <c r="F95" s="530">
        <v>15</v>
      </c>
      <c r="G95" s="102">
        <v>15.91</v>
      </c>
      <c r="H95" s="102">
        <v>57.61</v>
      </c>
      <c r="I95" s="102">
        <f t="shared" si="7"/>
        <v>73.52</v>
      </c>
      <c r="J95" s="102">
        <f t="shared" si="8"/>
        <v>238.65</v>
      </c>
      <c r="K95" s="102">
        <f t="shared" si="9"/>
        <v>864.15</v>
      </c>
      <c r="L95" s="102">
        <f t="shared" si="10"/>
        <v>1102.8</v>
      </c>
      <c r="M95" s="410">
        <v>0.25</v>
      </c>
      <c r="N95" s="408">
        <f t="shared" si="11"/>
        <v>1378.5</v>
      </c>
      <c r="O95" s="579">
        <f t="shared" si="12"/>
        <v>1.0468541622340542E-3</v>
      </c>
      <c r="P95" s="171">
        <f t="shared" si="13"/>
        <v>0.96696469241514804</v>
      </c>
      <c r="Q95" s="104"/>
      <c r="R95" s="359"/>
      <c r="S95" s="358"/>
    </row>
    <row r="96" spans="1:19" ht="30" x14ac:dyDescent="0.25">
      <c r="A96" s="524">
        <v>87</v>
      </c>
      <c r="B96" s="519" t="s">
        <v>115</v>
      </c>
      <c r="C96" s="519" t="s">
        <v>354</v>
      </c>
      <c r="D96" s="559" t="s">
        <v>766</v>
      </c>
      <c r="E96" s="525" t="s">
        <v>46</v>
      </c>
      <c r="F96" s="530">
        <v>7</v>
      </c>
      <c r="G96" s="102">
        <v>9.94</v>
      </c>
      <c r="H96" s="102">
        <v>145.04</v>
      </c>
      <c r="I96" s="102">
        <f t="shared" si="7"/>
        <v>154.97999999999999</v>
      </c>
      <c r="J96" s="102">
        <f t="shared" si="8"/>
        <v>69.58</v>
      </c>
      <c r="K96" s="102">
        <f t="shared" si="9"/>
        <v>1015.28</v>
      </c>
      <c r="L96" s="102">
        <f t="shared" si="10"/>
        <v>1084.8599999999999</v>
      </c>
      <c r="M96" s="410">
        <v>0.25</v>
      </c>
      <c r="N96" s="408">
        <f t="shared" si="11"/>
        <v>1356.08</v>
      </c>
      <c r="O96" s="579">
        <f t="shared" si="12"/>
        <v>1.0298280684239072E-3</v>
      </c>
      <c r="P96" s="171">
        <f t="shared" si="13"/>
        <v>0.96799452048357193</v>
      </c>
      <c r="Q96" s="104"/>
      <c r="R96" s="359"/>
      <c r="S96" s="358"/>
    </row>
    <row r="97" spans="1:19" ht="30" x14ac:dyDescent="0.25">
      <c r="A97" s="524">
        <v>88</v>
      </c>
      <c r="B97" s="519" t="s">
        <v>115</v>
      </c>
      <c r="C97" s="519" t="s">
        <v>776</v>
      </c>
      <c r="D97" s="559" t="s">
        <v>626</v>
      </c>
      <c r="E97" s="525" t="s">
        <v>46</v>
      </c>
      <c r="F97" s="530">
        <v>115</v>
      </c>
      <c r="G97" s="102">
        <v>2.85</v>
      </c>
      <c r="H97" s="102">
        <v>6.09</v>
      </c>
      <c r="I97" s="102">
        <f t="shared" si="7"/>
        <v>8.94</v>
      </c>
      <c r="J97" s="102">
        <f t="shared" si="8"/>
        <v>327.75</v>
      </c>
      <c r="K97" s="102">
        <f t="shared" si="9"/>
        <v>700.35</v>
      </c>
      <c r="L97" s="102">
        <f t="shared" si="10"/>
        <v>1028.0999999999999</v>
      </c>
      <c r="M97" s="410">
        <v>0.25</v>
      </c>
      <c r="N97" s="408">
        <f t="shared" si="11"/>
        <v>1285.1300000000001</v>
      </c>
      <c r="O97" s="579">
        <f t="shared" si="12"/>
        <v>9.7594754407823723E-4</v>
      </c>
      <c r="P97" s="171">
        <f t="shared" si="13"/>
        <v>0.96897046802765019</v>
      </c>
      <c r="Q97" s="104"/>
      <c r="R97" s="359"/>
      <c r="S97" s="358"/>
    </row>
    <row r="98" spans="1:19" ht="30" x14ac:dyDescent="0.25">
      <c r="A98" s="524">
        <v>89</v>
      </c>
      <c r="B98" s="519" t="s">
        <v>115</v>
      </c>
      <c r="C98" s="519">
        <f>A98</f>
        <v>89</v>
      </c>
      <c r="D98" s="520" t="s">
        <v>138</v>
      </c>
      <c r="E98" s="525" t="s">
        <v>72</v>
      </c>
      <c r="F98" s="530">
        <v>3</v>
      </c>
      <c r="G98" s="102">
        <v>342.2</v>
      </c>
      <c r="H98" s="102">
        <v>0</v>
      </c>
      <c r="I98" s="102">
        <f t="shared" si="7"/>
        <v>342.2</v>
      </c>
      <c r="J98" s="102">
        <f t="shared" si="8"/>
        <v>1026.5999999999999</v>
      </c>
      <c r="K98" s="102">
        <f t="shared" si="9"/>
        <v>0</v>
      </c>
      <c r="L98" s="102">
        <f t="shared" si="10"/>
        <v>1026.5999999999999</v>
      </c>
      <c r="M98" s="410">
        <f>$F$6</f>
        <v>0.25</v>
      </c>
      <c r="N98" s="408">
        <f t="shared" si="11"/>
        <v>1283.25</v>
      </c>
      <c r="O98" s="579">
        <f t="shared" si="12"/>
        <v>9.7451984308077617E-4</v>
      </c>
      <c r="P98" s="171">
        <f t="shared" si="13"/>
        <v>0.96994498787073091</v>
      </c>
      <c r="Q98" s="104"/>
      <c r="R98" s="359"/>
      <c r="S98" s="358"/>
    </row>
    <row r="99" spans="1:19" ht="30" x14ac:dyDescent="0.25">
      <c r="A99" s="524">
        <v>90</v>
      </c>
      <c r="B99" s="519" t="s">
        <v>115</v>
      </c>
      <c r="C99" s="519" t="s">
        <v>522</v>
      </c>
      <c r="D99" s="520" t="s">
        <v>927</v>
      </c>
      <c r="E99" s="525" t="s">
        <v>46</v>
      </c>
      <c r="F99" s="530">
        <v>1</v>
      </c>
      <c r="G99" s="102">
        <v>17.989999999999998</v>
      </c>
      <c r="H99" s="102">
        <v>991.35</v>
      </c>
      <c r="I99" s="102">
        <f t="shared" si="7"/>
        <v>1009.34</v>
      </c>
      <c r="J99" s="102">
        <f t="shared" si="8"/>
        <v>17.989999999999998</v>
      </c>
      <c r="K99" s="102">
        <f t="shared" si="9"/>
        <v>991.35</v>
      </c>
      <c r="L99" s="102">
        <f t="shared" si="10"/>
        <v>1009.34</v>
      </c>
      <c r="M99" s="410">
        <v>0.25</v>
      </c>
      <c r="N99" s="408">
        <f t="shared" si="11"/>
        <v>1261.68</v>
      </c>
      <c r="O99" s="579">
        <f t="shared" si="12"/>
        <v>9.5813925238118344E-4</v>
      </c>
      <c r="P99" s="171">
        <f t="shared" si="13"/>
        <v>0.97090312712311211</v>
      </c>
      <c r="Q99" s="104"/>
      <c r="R99" s="359"/>
      <c r="S99" s="358"/>
    </row>
    <row r="100" spans="1:19" ht="30" x14ac:dyDescent="0.25">
      <c r="A100" s="524">
        <v>91</v>
      </c>
      <c r="B100" s="519" t="s">
        <v>94</v>
      </c>
      <c r="C100" s="519">
        <v>88485</v>
      </c>
      <c r="D100" s="520" t="s">
        <v>118</v>
      </c>
      <c r="E100" s="525" t="s">
        <v>61</v>
      </c>
      <c r="F100" s="530">
        <v>474.33000000000004</v>
      </c>
      <c r="G100" s="102">
        <v>0.81</v>
      </c>
      <c r="H100" s="102">
        <v>1.3</v>
      </c>
      <c r="I100" s="102">
        <f t="shared" si="7"/>
        <v>2.11</v>
      </c>
      <c r="J100" s="102">
        <f t="shared" si="8"/>
        <v>384.21</v>
      </c>
      <c r="K100" s="102">
        <f t="shared" si="9"/>
        <v>616.63</v>
      </c>
      <c r="L100" s="102">
        <f t="shared" si="10"/>
        <v>1000.84</v>
      </c>
      <c r="M100" s="410">
        <v>0.25</v>
      </c>
      <c r="N100" s="408">
        <f t="shared" si="11"/>
        <v>1251.05</v>
      </c>
      <c r="O100" s="579">
        <f t="shared" si="12"/>
        <v>9.5006666642213509E-4</v>
      </c>
      <c r="P100" s="171">
        <f t="shared" si="13"/>
        <v>0.97185319378953428</v>
      </c>
      <c r="Q100" s="104"/>
      <c r="R100" s="359"/>
      <c r="S100" s="358"/>
    </row>
    <row r="101" spans="1:19" ht="30" x14ac:dyDescent="0.25">
      <c r="A101" s="524">
        <v>92</v>
      </c>
      <c r="B101" s="519" t="s">
        <v>115</v>
      </c>
      <c r="C101" s="519" t="s">
        <v>521</v>
      </c>
      <c r="D101" s="520" t="s">
        <v>926</v>
      </c>
      <c r="E101" s="525" t="s">
        <v>46</v>
      </c>
      <c r="F101" s="530">
        <v>1</v>
      </c>
      <c r="G101" s="102">
        <v>17.989999999999998</v>
      </c>
      <c r="H101" s="102">
        <v>949.35</v>
      </c>
      <c r="I101" s="102">
        <f t="shared" si="7"/>
        <v>967.34</v>
      </c>
      <c r="J101" s="102">
        <f t="shared" si="8"/>
        <v>17.989999999999998</v>
      </c>
      <c r="K101" s="102">
        <f t="shared" si="9"/>
        <v>949.35</v>
      </c>
      <c r="L101" s="102">
        <f t="shared" si="10"/>
        <v>967.34</v>
      </c>
      <c r="M101" s="410">
        <v>0.25</v>
      </c>
      <c r="N101" s="408">
        <f t="shared" si="11"/>
        <v>1209.18</v>
      </c>
      <c r="O101" s="579">
        <f t="shared" si="12"/>
        <v>9.1826994261166015E-4</v>
      </c>
      <c r="P101" s="171">
        <f t="shared" si="13"/>
        <v>0.97277146373214596</v>
      </c>
      <c r="Q101" s="104"/>
      <c r="R101" s="359"/>
      <c r="S101" s="358"/>
    </row>
    <row r="102" spans="1:19" x14ac:dyDescent="0.25">
      <c r="A102" s="524">
        <v>93</v>
      </c>
      <c r="B102" s="518" t="s">
        <v>115</v>
      </c>
      <c r="C102" s="518" t="s">
        <v>833</v>
      </c>
      <c r="D102" s="520" t="s">
        <v>847</v>
      </c>
      <c r="E102" s="521" t="s">
        <v>46</v>
      </c>
      <c r="F102" s="530">
        <v>2</v>
      </c>
      <c r="G102" s="102">
        <v>30.74</v>
      </c>
      <c r="H102" s="102">
        <v>422.99</v>
      </c>
      <c r="I102" s="102">
        <f t="shared" si="7"/>
        <v>453.73</v>
      </c>
      <c r="J102" s="102">
        <f t="shared" si="8"/>
        <v>61.48</v>
      </c>
      <c r="K102" s="102">
        <f t="shared" si="9"/>
        <v>845.98</v>
      </c>
      <c r="L102" s="102">
        <f t="shared" si="10"/>
        <v>907.46</v>
      </c>
      <c r="M102" s="410">
        <v>0.25</v>
      </c>
      <c r="N102" s="408">
        <f t="shared" si="11"/>
        <v>1134.33</v>
      </c>
      <c r="O102" s="579">
        <f t="shared" si="12"/>
        <v>8.6142769811168262E-4</v>
      </c>
      <c r="P102" s="171">
        <f t="shared" si="13"/>
        <v>0.97363289143025766</v>
      </c>
      <c r="Q102" s="104"/>
      <c r="R102" s="359"/>
      <c r="S102" s="358"/>
    </row>
    <row r="103" spans="1:19" x14ac:dyDescent="0.25">
      <c r="A103" s="524">
        <v>94</v>
      </c>
      <c r="B103" s="518" t="s">
        <v>94</v>
      </c>
      <c r="C103" s="519">
        <v>89716</v>
      </c>
      <c r="D103" s="559" t="s">
        <v>714</v>
      </c>
      <c r="E103" s="521" t="s">
        <v>58</v>
      </c>
      <c r="F103" s="530">
        <v>36.92</v>
      </c>
      <c r="G103" s="102">
        <v>2.9</v>
      </c>
      <c r="H103" s="102">
        <v>21.62</v>
      </c>
      <c r="I103" s="102">
        <f t="shared" si="7"/>
        <v>24.52</v>
      </c>
      <c r="J103" s="102">
        <f t="shared" si="8"/>
        <v>107.07</v>
      </c>
      <c r="K103" s="102">
        <f t="shared" si="9"/>
        <v>798.21</v>
      </c>
      <c r="L103" s="102">
        <f t="shared" si="10"/>
        <v>905.28</v>
      </c>
      <c r="M103" s="410">
        <v>0.25</v>
      </c>
      <c r="N103" s="408">
        <f t="shared" si="11"/>
        <v>1131.5999999999999</v>
      </c>
      <c r="O103" s="579">
        <f t="shared" si="12"/>
        <v>8.593544940036674E-4</v>
      </c>
      <c r="P103" s="171">
        <f t="shared" si="13"/>
        <v>0.97449224592426131</v>
      </c>
      <c r="Q103" s="104"/>
      <c r="R103" s="359"/>
      <c r="S103" s="358"/>
    </row>
    <row r="104" spans="1:19" ht="30" x14ac:dyDescent="0.25">
      <c r="A104" s="524">
        <v>95</v>
      </c>
      <c r="B104" s="519" t="s">
        <v>94</v>
      </c>
      <c r="C104" s="519">
        <v>93671</v>
      </c>
      <c r="D104" s="559" t="s">
        <v>762</v>
      </c>
      <c r="E104" s="525" t="s">
        <v>46</v>
      </c>
      <c r="F104" s="530">
        <v>11</v>
      </c>
      <c r="G104" s="102">
        <v>8.49</v>
      </c>
      <c r="H104" s="102">
        <v>72.73</v>
      </c>
      <c r="I104" s="102">
        <f t="shared" si="7"/>
        <v>81.22</v>
      </c>
      <c r="J104" s="102">
        <f t="shared" si="8"/>
        <v>93.39</v>
      </c>
      <c r="K104" s="102">
        <f t="shared" si="9"/>
        <v>800.03</v>
      </c>
      <c r="L104" s="102">
        <f t="shared" si="10"/>
        <v>893.42</v>
      </c>
      <c r="M104" s="410">
        <v>0.25</v>
      </c>
      <c r="N104" s="408">
        <f t="shared" si="11"/>
        <v>1116.78</v>
      </c>
      <c r="O104" s="579">
        <f t="shared" si="12"/>
        <v>8.4809995741729914E-4</v>
      </c>
      <c r="P104" s="171">
        <f t="shared" si="13"/>
        <v>0.97534034588167862</v>
      </c>
      <c r="Q104" s="104"/>
      <c r="R104" s="359"/>
      <c r="S104" s="358"/>
    </row>
    <row r="105" spans="1:19" ht="75" x14ac:dyDescent="0.25">
      <c r="A105" s="524">
        <v>96</v>
      </c>
      <c r="B105" s="519" t="s">
        <v>115</v>
      </c>
      <c r="C105" s="519" t="s">
        <v>460</v>
      </c>
      <c r="D105" s="559" t="s">
        <v>908</v>
      </c>
      <c r="E105" s="525" t="s">
        <v>46</v>
      </c>
      <c r="F105" s="530">
        <v>12</v>
      </c>
      <c r="G105" s="102">
        <v>15.91</v>
      </c>
      <c r="H105" s="102">
        <v>57.61</v>
      </c>
      <c r="I105" s="102">
        <f t="shared" si="7"/>
        <v>73.52</v>
      </c>
      <c r="J105" s="102">
        <f t="shared" si="8"/>
        <v>190.92</v>
      </c>
      <c r="K105" s="102">
        <f t="shared" si="9"/>
        <v>691.32</v>
      </c>
      <c r="L105" s="102">
        <f t="shared" si="10"/>
        <v>882.24</v>
      </c>
      <c r="M105" s="410">
        <v>0.25</v>
      </c>
      <c r="N105" s="408">
        <f t="shared" si="11"/>
        <v>1102.8</v>
      </c>
      <c r="O105" s="579">
        <f t="shared" si="12"/>
        <v>8.3748332978724317E-4</v>
      </c>
      <c r="P105" s="171">
        <f t="shared" si="13"/>
        <v>0.9761778292114659</v>
      </c>
      <c r="Q105" s="104"/>
      <c r="R105" s="359"/>
      <c r="S105" s="358"/>
    </row>
    <row r="106" spans="1:19" ht="30" x14ac:dyDescent="0.25">
      <c r="A106" s="524">
        <v>97</v>
      </c>
      <c r="B106" s="518" t="s">
        <v>115</v>
      </c>
      <c r="C106" s="518" t="s">
        <v>845</v>
      </c>
      <c r="D106" s="520" t="s">
        <v>516</v>
      </c>
      <c r="E106" s="521" t="s">
        <v>46</v>
      </c>
      <c r="F106" s="530">
        <v>1</v>
      </c>
      <c r="G106" s="102">
        <v>878.4</v>
      </c>
      <c r="H106" s="102">
        <v>0</v>
      </c>
      <c r="I106" s="102">
        <f t="shared" si="7"/>
        <v>878.4</v>
      </c>
      <c r="J106" s="102">
        <f t="shared" si="8"/>
        <v>878.4</v>
      </c>
      <c r="K106" s="102">
        <f t="shared" si="9"/>
        <v>0</v>
      </c>
      <c r="L106" s="102">
        <f t="shared" si="10"/>
        <v>878.4</v>
      </c>
      <c r="M106" s="410">
        <v>0.25</v>
      </c>
      <c r="N106" s="408">
        <f t="shared" si="11"/>
        <v>1098</v>
      </c>
      <c r="O106" s="579">
        <f t="shared" si="12"/>
        <v>8.3383813575117261E-4</v>
      </c>
      <c r="P106" s="171">
        <f t="shared" si="13"/>
        <v>0.97701166734721712</v>
      </c>
      <c r="Q106" s="104"/>
      <c r="R106" s="359"/>
      <c r="S106" s="358"/>
    </row>
    <row r="107" spans="1:19" ht="30" x14ac:dyDescent="0.25">
      <c r="A107" s="524">
        <v>98</v>
      </c>
      <c r="B107" s="519" t="s">
        <v>94</v>
      </c>
      <c r="C107" s="519">
        <v>88484</v>
      </c>
      <c r="D107" s="520" t="s">
        <v>721</v>
      </c>
      <c r="E107" s="525" t="s">
        <v>61</v>
      </c>
      <c r="F107" s="530">
        <v>352.63</v>
      </c>
      <c r="G107" s="102">
        <v>1.0900000000000001</v>
      </c>
      <c r="H107" s="102">
        <v>1.37</v>
      </c>
      <c r="I107" s="102">
        <f t="shared" si="7"/>
        <v>2.46</v>
      </c>
      <c r="J107" s="102">
        <f t="shared" si="8"/>
        <v>384.37</v>
      </c>
      <c r="K107" s="102">
        <f t="shared" si="9"/>
        <v>483.1</v>
      </c>
      <c r="L107" s="102">
        <f t="shared" si="10"/>
        <v>867.47</v>
      </c>
      <c r="M107" s="410">
        <v>0.25</v>
      </c>
      <c r="N107" s="408">
        <f t="shared" si="11"/>
        <v>1084.3399999999999</v>
      </c>
      <c r="O107" s="579">
        <f t="shared" si="12"/>
        <v>8.2346452105685466E-4</v>
      </c>
      <c r="P107" s="171">
        <f t="shared" si="13"/>
        <v>0.97783513186827398</v>
      </c>
      <c r="Q107" s="104"/>
      <c r="R107" s="359"/>
      <c r="S107" s="358"/>
    </row>
    <row r="108" spans="1:19" ht="30" x14ac:dyDescent="0.25">
      <c r="A108" s="524">
        <v>99</v>
      </c>
      <c r="B108" s="519" t="s">
        <v>115</v>
      </c>
      <c r="C108" s="519" t="s">
        <v>352</v>
      </c>
      <c r="D108" s="559" t="s">
        <v>764</v>
      </c>
      <c r="E108" s="525" t="s">
        <v>46</v>
      </c>
      <c r="F108" s="530">
        <v>2</v>
      </c>
      <c r="G108" s="102">
        <v>19.899999999999999</v>
      </c>
      <c r="H108" s="102">
        <v>413.18</v>
      </c>
      <c r="I108" s="102">
        <f t="shared" si="7"/>
        <v>433.08</v>
      </c>
      <c r="J108" s="102">
        <f t="shared" si="8"/>
        <v>39.799999999999997</v>
      </c>
      <c r="K108" s="102">
        <f t="shared" si="9"/>
        <v>826.36</v>
      </c>
      <c r="L108" s="102">
        <f t="shared" si="10"/>
        <v>866.16</v>
      </c>
      <c r="M108" s="410">
        <v>0.25</v>
      </c>
      <c r="N108" s="408">
        <f t="shared" si="11"/>
        <v>1082.7</v>
      </c>
      <c r="O108" s="579">
        <f t="shared" si="12"/>
        <v>8.2221907976119722E-4</v>
      </c>
      <c r="P108" s="171">
        <f t="shared" si="13"/>
        <v>0.97865735094803519</v>
      </c>
      <c r="Q108" s="104"/>
      <c r="R108" s="359"/>
      <c r="S108" s="358"/>
    </row>
    <row r="109" spans="1:19" x14ac:dyDescent="0.25">
      <c r="A109" s="524">
        <v>100</v>
      </c>
      <c r="B109" s="518" t="s">
        <v>94</v>
      </c>
      <c r="C109" s="519">
        <v>89713</v>
      </c>
      <c r="D109" s="559" t="s">
        <v>685</v>
      </c>
      <c r="E109" s="521" t="s">
        <v>58</v>
      </c>
      <c r="F109" s="530">
        <v>17.29</v>
      </c>
      <c r="G109" s="102">
        <v>15.8</v>
      </c>
      <c r="H109" s="102">
        <v>25.89</v>
      </c>
      <c r="I109" s="102">
        <f t="shared" si="7"/>
        <v>41.69</v>
      </c>
      <c r="J109" s="102">
        <f t="shared" si="8"/>
        <v>273.18</v>
      </c>
      <c r="K109" s="102">
        <f t="shared" si="9"/>
        <v>447.64</v>
      </c>
      <c r="L109" s="102">
        <f t="shared" si="10"/>
        <v>720.82</v>
      </c>
      <c r="M109" s="410">
        <v>0.25</v>
      </c>
      <c r="N109" s="408">
        <f t="shared" si="11"/>
        <v>901.03</v>
      </c>
      <c r="O109" s="579">
        <f t="shared" si="12"/>
        <v>6.8425607965016304E-4</v>
      </c>
      <c r="P109" s="171">
        <f t="shared" si="13"/>
        <v>0.97934160702768536</v>
      </c>
      <c r="Q109" s="104"/>
      <c r="R109" s="359"/>
      <c r="S109" s="358"/>
    </row>
    <row r="110" spans="1:19" x14ac:dyDescent="0.25">
      <c r="A110" s="524">
        <v>101</v>
      </c>
      <c r="B110" s="519" t="s">
        <v>115</v>
      </c>
      <c r="C110" s="519" t="s">
        <v>520</v>
      </c>
      <c r="D110" s="520" t="s">
        <v>748</v>
      </c>
      <c r="E110" s="525" t="s">
        <v>46</v>
      </c>
      <c r="F110" s="530">
        <v>1</v>
      </c>
      <c r="G110" s="102">
        <v>17.989999999999998</v>
      </c>
      <c r="H110" s="102">
        <v>690.05</v>
      </c>
      <c r="I110" s="102">
        <f t="shared" si="7"/>
        <v>708.04</v>
      </c>
      <c r="J110" s="102">
        <f t="shared" si="8"/>
        <v>17.989999999999998</v>
      </c>
      <c r="K110" s="102">
        <f t="shared" si="9"/>
        <v>690.05</v>
      </c>
      <c r="L110" s="102">
        <f t="shared" si="10"/>
        <v>708.04</v>
      </c>
      <c r="M110" s="410">
        <v>0.25</v>
      </c>
      <c r="N110" s="408">
        <f t="shared" si="11"/>
        <v>885.05</v>
      </c>
      <c r="O110" s="579">
        <f t="shared" si="12"/>
        <v>6.7212062117174426E-4</v>
      </c>
      <c r="P110" s="171">
        <f t="shared" si="13"/>
        <v>0.98001372764885708</v>
      </c>
      <c r="Q110" s="104"/>
      <c r="R110" s="359"/>
      <c r="S110" s="358"/>
    </row>
    <row r="111" spans="1:19" x14ac:dyDescent="0.25">
      <c r="A111" s="524">
        <v>102</v>
      </c>
      <c r="B111" s="519" t="s">
        <v>115</v>
      </c>
      <c r="C111" s="519">
        <f>A111</f>
        <v>102</v>
      </c>
      <c r="D111" s="520" t="s">
        <v>379</v>
      </c>
      <c r="E111" s="525" t="s">
        <v>46</v>
      </c>
      <c r="F111" s="530">
        <v>1</v>
      </c>
      <c r="G111" s="102">
        <v>684.4</v>
      </c>
      <c r="H111" s="102">
        <v>0</v>
      </c>
      <c r="I111" s="102">
        <f t="shared" si="7"/>
        <v>684.4</v>
      </c>
      <c r="J111" s="102">
        <f t="shared" si="8"/>
        <v>684.4</v>
      </c>
      <c r="K111" s="102">
        <f t="shared" si="9"/>
        <v>0</v>
      </c>
      <c r="L111" s="102">
        <f t="shared" si="10"/>
        <v>684.4</v>
      </c>
      <c r="M111" s="410">
        <f>$F$6</f>
        <v>0.25</v>
      </c>
      <c r="N111" s="408">
        <f t="shared" si="11"/>
        <v>855.5</v>
      </c>
      <c r="O111" s="579">
        <f t="shared" si="12"/>
        <v>6.4967989538718411E-4</v>
      </c>
      <c r="P111" s="171">
        <f t="shared" si="13"/>
        <v>0.9806634075442443</v>
      </c>
      <c r="Q111" s="104"/>
      <c r="R111" s="359"/>
      <c r="S111" s="358"/>
    </row>
    <row r="112" spans="1:19" x14ac:dyDescent="0.25">
      <c r="A112" s="524">
        <v>103</v>
      </c>
      <c r="B112" s="519" t="s">
        <v>115</v>
      </c>
      <c r="C112" s="519" t="s">
        <v>794</v>
      </c>
      <c r="D112" s="559" t="s">
        <v>799</v>
      </c>
      <c r="E112" s="525" t="s">
        <v>46</v>
      </c>
      <c r="F112" s="530">
        <v>262</v>
      </c>
      <c r="G112" s="102">
        <v>2.58</v>
      </c>
      <c r="H112" s="102">
        <v>0</v>
      </c>
      <c r="I112" s="102">
        <f t="shared" si="7"/>
        <v>2.58</v>
      </c>
      <c r="J112" s="102">
        <f t="shared" si="8"/>
        <v>675.96</v>
      </c>
      <c r="K112" s="102">
        <f t="shared" si="9"/>
        <v>0</v>
      </c>
      <c r="L112" s="102">
        <f t="shared" si="10"/>
        <v>675.96</v>
      </c>
      <c r="M112" s="410">
        <v>0.25</v>
      </c>
      <c r="N112" s="408">
        <f t="shared" si="11"/>
        <v>844.95</v>
      </c>
      <c r="O112" s="579">
        <f t="shared" si="12"/>
        <v>6.4166806266207038E-4</v>
      </c>
      <c r="P112" s="171">
        <f t="shared" si="13"/>
        <v>0.98130507560690639</v>
      </c>
      <c r="Q112" s="104"/>
      <c r="R112" s="359"/>
      <c r="S112" s="358"/>
    </row>
    <row r="113" spans="1:19" ht="30" x14ac:dyDescent="0.25">
      <c r="A113" s="524">
        <v>104</v>
      </c>
      <c r="B113" s="518" t="s">
        <v>115</v>
      </c>
      <c r="C113" s="518" t="s">
        <v>839</v>
      </c>
      <c r="D113" s="520" t="s">
        <v>937</v>
      </c>
      <c r="E113" s="521" t="s">
        <v>58</v>
      </c>
      <c r="F113" s="530">
        <v>25</v>
      </c>
      <c r="G113" s="102">
        <v>2.99</v>
      </c>
      <c r="H113" s="102">
        <v>22.94</v>
      </c>
      <c r="I113" s="102">
        <f t="shared" si="7"/>
        <v>25.93</v>
      </c>
      <c r="J113" s="102">
        <f t="shared" si="8"/>
        <v>74.75</v>
      </c>
      <c r="K113" s="102">
        <f t="shared" si="9"/>
        <v>573.5</v>
      </c>
      <c r="L113" s="102">
        <f t="shared" si="10"/>
        <v>648.25</v>
      </c>
      <c r="M113" s="410">
        <v>0.25</v>
      </c>
      <c r="N113" s="408">
        <f t="shared" si="11"/>
        <v>810.31</v>
      </c>
      <c r="O113" s="579">
        <f t="shared" si="12"/>
        <v>6.1536191236842672E-4</v>
      </c>
      <c r="P113" s="171">
        <f t="shared" si="13"/>
        <v>0.98192043751927482</v>
      </c>
      <c r="Q113" s="104"/>
      <c r="R113" s="359"/>
      <c r="S113" s="358"/>
    </row>
    <row r="114" spans="1:19" ht="45" x14ac:dyDescent="0.25">
      <c r="A114" s="524">
        <v>105</v>
      </c>
      <c r="B114" s="518" t="s">
        <v>115</v>
      </c>
      <c r="C114" s="518" t="s">
        <v>504</v>
      </c>
      <c r="D114" s="520" t="s">
        <v>855</v>
      </c>
      <c r="E114" s="521" t="s">
        <v>46</v>
      </c>
      <c r="F114" s="530">
        <v>1</v>
      </c>
      <c r="G114" s="102">
        <v>109.81</v>
      </c>
      <c r="H114" s="102">
        <v>525</v>
      </c>
      <c r="I114" s="102">
        <f t="shared" si="7"/>
        <v>634.80999999999995</v>
      </c>
      <c r="J114" s="102">
        <f t="shared" si="8"/>
        <v>109.81</v>
      </c>
      <c r="K114" s="102">
        <f t="shared" si="9"/>
        <v>525</v>
      </c>
      <c r="L114" s="102">
        <f t="shared" si="10"/>
        <v>634.80999999999995</v>
      </c>
      <c r="M114" s="410">
        <v>0.25</v>
      </c>
      <c r="N114" s="408">
        <f t="shared" si="11"/>
        <v>793.51</v>
      </c>
      <c r="O114" s="579">
        <f t="shared" si="12"/>
        <v>6.0260373324217938E-4</v>
      </c>
      <c r="P114" s="171">
        <f t="shared" si="13"/>
        <v>0.98252304125251699</v>
      </c>
      <c r="Q114" s="104"/>
      <c r="R114" s="359"/>
      <c r="S114" s="358"/>
    </row>
    <row r="115" spans="1:19" x14ac:dyDescent="0.25">
      <c r="A115" s="524">
        <v>106</v>
      </c>
      <c r="B115" s="519" t="s">
        <v>115</v>
      </c>
      <c r="C115" s="519" t="s">
        <v>474</v>
      </c>
      <c r="D115" s="559" t="s">
        <v>798</v>
      </c>
      <c r="E115" s="525" t="s">
        <v>46</v>
      </c>
      <c r="F115" s="530">
        <v>84</v>
      </c>
      <c r="G115" s="102">
        <v>7.41</v>
      </c>
      <c r="H115" s="102">
        <v>0</v>
      </c>
      <c r="I115" s="102">
        <f t="shared" si="7"/>
        <v>7.41</v>
      </c>
      <c r="J115" s="102">
        <f t="shared" si="8"/>
        <v>622.44000000000005</v>
      </c>
      <c r="K115" s="102">
        <f t="shared" si="9"/>
        <v>0</v>
      </c>
      <c r="L115" s="102">
        <f t="shared" si="10"/>
        <v>622.44000000000005</v>
      </c>
      <c r="M115" s="410">
        <v>0.25</v>
      </c>
      <c r="N115" s="408">
        <f t="shared" si="11"/>
        <v>778.05</v>
      </c>
      <c r="O115" s="579">
        <f t="shared" si="12"/>
        <v>5.9086317078433498E-4</v>
      </c>
      <c r="P115" s="171">
        <f t="shared" si="13"/>
        <v>0.98311390442330138</v>
      </c>
      <c r="Q115" s="104"/>
      <c r="R115" s="359"/>
      <c r="S115" s="358"/>
    </row>
    <row r="116" spans="1:19" x14ac:dyDescent="0.25">
      <c r="A116" s="524">
        <v>107</v>
      </c>
      <c r="B116" s="518" t="s">
        <v>94</v>
      </c>
      <c r="C116" s="519">
        <v>89712</v>
      </c>
      <c r="D116" s="559" t="s">
        <v>684</v>
      </c>
      <c r="E116" s="521" t="s">
        <v>58</v>
      </c>
      <c r="F116" s="530">
        <v>22.049999999999997</v>
      </c>
      <c r="G116" s="102">
        <v>10.73</v>
      </c>
      <c r="H116" s="102">
        <v>16.579999999999998</v>
      </c>
      <c r="I116" s="102">
        <f t="shared" si="7"/>
        <v>27.31</v>
      </c>
      <c r="J116" s="102">
        <f t="shared" si="8"/>
        <v>236.6</v>
      </c>
      <c r="K116" s="102">
        <f t="shared" si="9"/>
        <v>365.59</v>
      </c>
      <c r="L116" s="102">
        <f t="shared" si="10"/>
        <v>602.19000000000005</v>
      </c>
      <c r="M116" s="410">
        <v>0.25</v>
      </c>
      <c r="N116" s="408">
        <f t="shared" si="11"/>
        <v>752.74</v>
      </c>
      <c r="O116" s="579">
        <f t="shared" si="12"/>
        <v>5.7164236639830387E-4</v>
      </c>
      <c r="P116" s="171">
        <f t="shared" si="13"/>
        <v>0.98368554678969966</v>
      </c>
      <c r="Q116" s="104"/>
      <c r="R116" s="359"/>
      <c r="S116" s="358"/>
    </row>
    <row r="117" spans="1:19" s="72" customFormat="1" x14ac:dyDescent="0.25">
      <c r="A117" s="524">
        <v>108</v>
      </c>
      <c r="B117" s="518" t="s">
        <v>115</v>
      </c>
      <c r="C117" s="518" t="s">
        <v>836</v>
      </c>
      <c r="D117" s="520" t="s">
        <v>920</v>
      </c>
      <c r="E117" s="521" t="s">
        <v>46</v>
      </c>
      <c r="F117" s="530">
        <v>2</v>
      </c>
      <c r="G117" s="102">
        <v>21.97</v>
      </c>
      <c r="H117" s="102">
        <v>222.5</v>
      </c>
      <c r="I117" s="102">
        <f t="shared" si="7"/>
        <v>244.47</v>
      </c>
      <c r="J117" s="102">
        <f t="shared" si="8"/>
        <v>43.94</v>
      </c>
      <c r="K117" s="102">
        <f t="shared" si="9"/>
        <v>445</v>
      </c>
      <c r="L117" s="102">
        <f t="shared" si="10"/>
        <v>488.94</v>
      </c>
      <c r="M117" s="410">
        <v>0.25</v>
      </c>
      <c r="N117" s="408">
        <f t="shared" si="11"/>
        <v>611.17999999999995</v>
      </c>
      <c r="O117" s="579">
        <f t="shared" si="12"/>
        <v>4.6413951895118543E-4</v>
      </c>
      <c r="P117" s="171">
        <f t="shared" si="13"/>
        <v>0.98414968630865085</v>
      </c>
      <c r="Q117" s="104"/>
      <c r="R117" s="124"/>
      <c r="S117" s="358"/>
    </row>
    <row r="118" spans="1:19" s="72" customFormat="1" ht="30" x14ac:dyDescent="0.25">
      <c r="A118" s="524">
        <v>109</v>
      </c>
      <c r="B118" s="518" t="s">
        <v>94</v>
      </c>
      <c r="C118" s="519">
        <v>97640</v>
      </c>
      <c r="D118" s="520" t="s">
        <v>723</v>
      </c>
      <c r="E118" s="521" t="s">
        <v>61</v>
      </c>
      <c r="F118" s="530">
        <v>352.63</v>
      </c>
      <c r="G118" s="102">
        <v>1.1200000000000001</v>
      </c>
      <c r="H118" s="102">
        <v>0.25999999999999979</v>
      </c>
      <c r="I118" s="102">
        <f t="shared" si="7"/>
        <v>1.38</v>
      </c>
      <c r="J118" s="102">
        <f t="shared" si="8"/>
        <v>394.95</v>
      </c>
      <c r="K118" s="102">
        <f t="shared" si="9"/>
        <v>91.68</v>
      </c>
      <c r="L118" s="102">
        <f t="shared" si="10"/>
        <v>486.63</v>
      </c>
      <c r="M118" s="410">
        <v>0.25</v>
      </c>
      <c r="N118" s="408">
        <f t="shared" si="11"/>
        <v>608.29</v>
      </c>
      <c r="O118" s="579">
        <f t="shared" si="12"/>
        <v>4.6194480837530121E-4</v>
      </c>
      <c r="P118" s="171">
        <f t="shared" si="13"/>
        <v>0.9846116311170261</v>
      </c>
      <c r="Q118" s="104"/>
      <c r="R118" s="124"/>
      <c r="S118" s="358"/>
    </row>
    <row r="119" spans="1:19" s="72" customFormat="1" ht="30" x14ac:dyDescent="0.25">
      <c r="A119" s="524">
        <v>110</v>
      </c>
      <c r="B119" s="518" t="s">
        <v>94</v>
      </c>
      <c r="C119" s="519">
        <v>97637</v>
      </c>
      <c r="D119" s="520" t="s">
        <v>865</v>
      </c>
      <c r="E119" s="521" t="s">
        <v>61</v>
      </c>
      <c r="F119" s="530">
        <v>218.26</v>
      </c>
      <c r="G119" s="102">
        <v>1.75</v>
      </c>
      <c r="H119" s="102">
        <v>0.45</v>
      </c>
      <c r="I119" s="102">
        <f t="shared" si="7"/>
        <v>2.2000000000000002</v>
      </c>
      <c r="J119" s="102">
        <f t="shared" si="8"/>
        <v>381.96</v>
      </c>
      <c r="K119" s="102">
        <f t="shared" si="9"/>
        <v>98.22</v>
      </c>
      <c r="L119" s="102">
        <f t="shared" si="10"/>
        <v>480.17</v>
      </c>
      <c r="M119" s="410">
        <v>0.25</v>
      </c>
      <c r="N119" s="408">
        <f t="shared" si="11"/>
        <v>600.21</v>
      </c>
      <c r="O119" s="579">
        <f t="shared" si="12"/>
        <v>4.5580873174791561E-4</v>
      </c>
      <c r="P119" s="171">
        <f t="shared" si="13"/>
        <v>0.98506743984877398</v>
      </c>
      <c r="Q119" s="104"/>
      <c r="R119" s="124"/>
      <c r="S119" s="358"/>
    </row>
    <row r="120" spans="1:19" s="72" customFormat="1" x14ac:dyDescent="0.25">
      <c r="A120" s="524">
        <v>111</v>
      </c>
      <c r="B120" s="518" t="s">
        <v>115</v>
      </c>
      <c r="C120" s="518" t="s">
        <v>732</v>
      </c>
      <c r="D120" s="520" t="s">
        <v>730</v>
      </c>
      <c r="E120" s="521" t="s">
        <v>61</v>
      </c>
      <c r="F120" s="530">
        <v>2.64</v>
      </c>
      <c r="G120" s="102">
        <v>19.850000000000001</v>
      </c>
      <c r="H120" s="102">
        <v>160.24</v>
      </c>
      <c r="I120" s="102">
        <f t="shared" si="7"/>
        <v>180.09</v>
      </c>
      <c r="J120" s="102">
        <f t="shared" si="8"/>
        <v>52.4</v>
      </c>
      <c r="K120" s="102">
        <f t="shared" si="9"/>
        <v>423.03</v>
      </c>
      <c r="L120" s="102">
        <f t="shared" si="10"/>
        <v>475.44</v>
      </c>
      <c r="M120" s="410">
        <v>0.25</v>
      </c>
      <c r="N120" s="408">
        <f t="shared" si="11"/>
        <v>594.29999999999995</v>
      </c>
      <c r="O120" s="579">
        <f t="shared" si="12"/>
        <v>4.5132058659100348E-4</v>
      </c>
      <c r="P120" s="171">
        <f t="shared" si="13"/>
        <v>0.98551876043536502</v>
      </c>
      <c r="Q120" s="104"/>
      <c r="R120" s="124"/>
      <c r="S120" s="358"/>
    </row>
    <row r="121" spans="1:19" s="72" customFormat="1" ht="30" x14ac:dyDescent="0.25">
      <c r="A121" s="524">
        <v>112</v>
      </c>
      <c r="B121" s="519" t="s">
        <v>94</v>
      </c>
      <c r="C121" s="519">
        <v>93664</v>
      </c>
      <c r="D121" s="559" t="s">
        <v>758</v>
      </c>
      <c r="E121" s="525" t="s">
        <v>46</v>
      </c>
      <c r="F121" s="530">
        <v>7</v>
      </c>
      <c r="G121" s="102">
        <v>5.66</v>
      </c>
      <c r="H121" s="102">
        <v>58.38</v>
      </c>
      <c r="I121" s="102">
        <f t="shared" si="7"/>
        <v>64.040000000000006</v>
      </c>
      <c r="J121" s="102">
        <f t="shared" si="8"/>
        <v>39.619999999999997</v>
      </c>
      <c r="K121" s="102">
        <f t="shared" si="9"/>
        <v>408.66</v>
      </c>
      <c r="L121" s="102">
        <f t="shared" si="10"/>
        <v>448.28</v>
      </c>
      <c r="M121" s="410">
        <v>0.25</v>
      </c>
      <c r="N121" s="408">
        <f t="shared" si="11"/>
        <v>560.35</v>
      </c>
      <c r="O121" s="579">
        <f t="shared" si="12"/>
        <v>4.2553843294004513E-4</v>
      </c>
      <c r="P121" s="171">
        <f t="shared" si="13"/>
        <v>0.98594429886830504</v>
      </c>
      <c r="Q121" s="104"/>
      <c r="R121" s="124"/>
      <c r="S121" s="358"/>
    </row>
    <row r="122" spans="1:19" s="72" customFormat="1" ht="30" x14ac:dyDescent="0.25">
      <c r="A122" s="524">
        <v>113</v>
      </c>
      <c r="B122" s="519" t="s">
        <v>94</v>
      </c>
      <c r="C122" s="519">
        <v>87473</v>
      </c>
      <c r="D122" s="520" t="s">
        <v>870</v>
      </c>
      <c r="E122" s="521" t="s">
        <v>61</v>
      </c>
      <c r="F122" s="530">
        <v>6.3</v>
      </c>
      <c r="G122" s="102">
        <v>20.56</v>
      </c>
      <c r="H122" s="102">
        <v>47.16</v>
      </c>
      <c r="I122" s="102">
        <f t="shared" si="7"/>
        <v>67.72</v>
      </c>
      <c r="J122" s="102">
        <f t="shared" si="8"/>
        <v>129.53</v>
      </c>
      <c r="K122" s="102">
        <f t="shared" si="9"/>
        <v>297.11</v>
      </c>
      <c r="L122" s="102">
        <f t="shared" si="10"/>
        <v>426.64</v>
      </c>
      <c r="M122" s="410">
        <v>0.25</v>
      </c>
      <c r="N122" s="408">
        <f t="shared" si="11"/>
        <v>533.29999999999995</v>
      </c>
      <c r="O122" s="579">
        <f t="shared" si="12"/>
        <v>4.0499624571593834E-4</v>
      </c>
      <c r="P122" s="171">
        <f t="shared" si="13"/>
        <v>0.98634929511402092</v>
      </c>
      <c r="Q122" s="104"/>
      <c r="R122" s="124"/>
      <c r="S122" s="358"/>
    </row>
    <row r="123" spans="1:19" s="72" customFormat="1" ht="30" x14ac:dyDescent="0.25">
      <c r="A123" s="524">
        <v>114</v>
      </c>
      <c r="B123" s="519" t="s">
        <v>115</v>
      </c>
      <c r="C123" s="519" t="s">
        <v>785</v>
      </c>
      <c r="D123" s="559" t="s">
        <v>803</v>
      </c>
      <c r="E123" s="525" t="s">
        <v>46</v>
      </c>
      <c r="F123" s="530">
        <v>32</v>
      </c>
      <c r="G123" s="102">
        <v>2.99</v>
      </c>
      <c r="H123" s="102">
        <v>10.31</v>
      </c>
      <c r="I123" s="102">
        <f t="shared" si="7"/>
        <v>13.3</v>
      </c>
      <c r="J123" s="102">
        <f t="shared" si="8"/>
        <v>95.68</v>
      </c>
      <c r="K123" s="102">
        <f t="shared" si="9"/>
        <v>329.92</v>
      </c>
      <c r="L123" s="102">
        <f t="shared" si="10"/>
        <v>425.6</v>
      </c>
      <c r="M123" s="410">
        <v>0.25</v>
      </c>
      <c r="N123" s="408">
        <f t="shared" si="11"/>
        <v>532</v>
      </c>
      <c r="O123" s="579">
        <f t="shared" si="12"/>
        <v>4.0400900566450255E-4</v>
      </c>
      <c r="P123" s="171">
        <f t="shared" si="13"/>
        <v>0.98675330411968543</v>
      </c>
      <c r="Q123" s="104"/>
      <c r="R123" s="124"/>
      <c r="S123" s="358"/>
    </row>
    <row r="124" spans="1:19" s="72" customFormat="1" ht="75" x14ac:dyDescent="0.25">
      <c r="A124" s="524">
        <v>115</v>
      </c>
      <c r="B124" s="518" t="s">
        <v>115</v>
      </c>
      <c r="C124" s="518" t="s">
        <v>490</v>
      </c>
      <c r="D124" s="520" t="s">
        <v>961</v>
      </c>
      <c r="E124" s="521" t="s">
        <v>46</v>
      </c>
      <c r="F124" s="530">
        <v>1</v>
      </c>
      <c r="G124" s="102">
        <v>65.89</v>
      </c>
      <c r="H124" s="102">
        <v>356.65</v>
      </c>
      <c r="I124" s="102">
        <f t="shared" si="7"/>
        <v>422.54</v>
      </c>
      <c r="J124" s="102">
        <f t="shared" si="8"/>
        <v>65.89</v>
      </c>
      <c r="K124" s="102">
        <f t="shared" si="9"/>
        <v>356.65</v>
      </c>
      <c r="L124" s="102">
        <f t="shared" si="10"/>
        <v>422.54</v>
      </c>
      <c r="M124" s="410">
        <v>0.25</v>
      </c>
      <c r="N124" s="408">
        <f t="shared" si="11"/>
        <v>528.17999999999995</v>
      </c>
      <c r="O124" s="579">
        <f t="shared" si="12"/>
        <v>4.011080387441296E-4</v>
      </c>
      <c r="P124" s="171">
        <f t="shared" si="13"/>
        <v>0.98715441215842958</v>
      </c>
      <c r="Q124" s="104"/>
      <c r="R124" s="124"/>
      <c r="S124" s="358"/>
    </row>
    <row r="125" spans="1:19" s="72" customFormat="1" ht="60" x14ac:dyDescent="0.25">
      <c r="A125" s="524">
        <v>116</v>
      </c>
      <c r="B125" s="518" t="s">
        <v>115</v>
      </c>
      <c r="C125" s="518" t="s">
        <v>500</v>
      </c>
      <c r="D125" s="520" t="s">
        <v>835</v>
      </c>
      <c r="E125" s="521" t="s">
        <v>46</v>
      </c>
      <c r="F125" s="530">
        <v>1</v>
      </c>
      <c r="G125" s="102">
        <v>52.71</v>
      </c>
      <c r="H125" s="102">
        <v>366.74</v>
      </c>
      <c r="I125" s="102">
        <f t="shared" si="7"/>
        <v>419.45</v>
      </c>
      <c r="J125" s="102">
        <f t="shared" si="8"/>
        <v>52.71</v>
      </c>
      <c r="K125" s="102">
        <f t="shared" si="9"/>
        <v>366.74</v>
      </c>
      <c r="L125" s="102">
        <f t="shared" si="10"/>
        <v>419.45</v>
      </c>
      <c r="M125" s="410">
        <v>0.25</v>
      </c>
      <c r="N125" s="408">
        <f t="shared" si="11"/>
        <v>524.30999999999995</v>
      </c>
      <c r="O125" s="579">
        <f t="shared" si="12"/>
        <v>3.981691010525476E-4</v>
      </c>
      <c r="P125" s="171">
        <f t="shared" si="13"/>
        <v>0.98755258125948209</v>
      </c>
      <c r="Q125" s="104"/>
      <c r="R125" s="124"/>
      <c r="S125" s="358"/>
    </row>
    <row r="126" spans="1:19" s="72" customFormat="1" x14ac:dyDescent="0.25">
      <c r="A126" s="524">
        <v>117</v>
      </c>
      <c r="B126" s="518" t="s">
        <v>94</v>
      </c>
      <c r="C126" s="519">
        <v>89353</v>
      </c>
      <c r="D126" s="559" t="s">
        <v>646</v>
      </c>
      <c r="E126" s="521" t="s">
        <v>46</v>
      </c>
      <c r="F126" s="530">
        <v>10</v>
      </c>
      <c r="G126" s="102">
        <v>5.63</v>
      </c>
      <c r="H126" s="102">
        <v>34.57</v>
      </c>
      <c r="I126" s="102">
        <f t="shared" si="7"/>
        <v>40.200000000000003</v>
      </c>
      <c r="J126" s="102">
        <f t="shared" si="8"/>
        <v>56.3</v>
      </c>
      <c r="K126" s="102">
        <f t="shared" si="9"/>
        <v>345.7</v>
      </c>
      <c r="L126" s="102">
        <f t="shared" si="10"/>
        <v>402</v>
      </c>
      <c r="M126" s="410">
        <v>0.25</v>
      </c>
      <c r="N126" s="408">
        <f t="shared" si="11"/>
        <v>502.5</v>
      </c>
      <c r="O126" s="579">
        <f t="shared" si="12"/>
        <v>3.8160625065115136E-4</v>
      </c>
      <c r="P126" s="171">
        <f t="shared" si="13"/>
        <v>0.98793418751013329</v>
      </c>
      <c r="Q126" s="104"/>
      <c r="R126" s="124"/>
      <c r="S126" s="358"/>
    </row>
    <row r="127" spans="1:19" s="72" customFormat="1" ht="30" x14ac:dyDescent="0.25">
      <c r="A127" s="524">
        <v>118</v>
      </c>
      <c r="B127" s="518" t="s">
        <v>94</v>
      </c>
      <c r="C127" s="519">
        <v>91925</v>
      </c>
      <c r="D127" s="520" t="s">
        <v>849</v>
      </c>
      <c r="E127" s="521" t="s">
        <v>58</v>
      </c>
      <c r="F127" s="530">
        <v>100</v>
      </c>
      <c r="G127" s="102">
        <v>0.74</v>
      </c>
      <c r="H127" s="102">
        <v>3.27</v>
      </c>
      <c r="I127" s="102">
        <f t="shared" si="7"/>
        <v>4.01</v>
      </c>
      <c r="J127" s="102">
        <f t="shared" si="8"/>
        <v>74</v>
      </c>
      <c r="K127" s="102">
        <f t="shared" si="9"/>
        <v>327</v>
      </c>
      <c r="L127" s="102">
        <f t="shared" si="10"/>
        <v>401</v>
      </c>
      <c r="M127" s="410">
        <v>0.25</v>
      </c>
      <c r="N127" s="408">
        <f t="shared" si="11"/>
        <v>501.25</v>
      </c>
      <c r="O127" s="579">
        <f t="shared" si="12"/>
        <v>3.8065698137092462E-4</v>
      </c>
      <c r="P127" s="171">
        <f t="shared" si="13"/>
        <v>0.9883148444915042</v>
      </c>
      <c r="Q127" s="104"/>
      <c r="R127" s="124"/>
      <c r="S127" s="358"/>
    </row>
    <row r="128" spans="1:19" s="72" customFormat="1" ht="45" x14ac:dyDescent="0.25">
      <c r="A128" s="524">
        <v>119</v>
      </c>
      <c r="B128" s="519" t="s">
        <v>94</v>
      </c>
      <c r="C128" s="519">
        <v>87530</v>
      </c>
      <c r="D128" s="520" t="s">
        <v>874</v>
      </c>
      <c r="E128" s="525" t="s">
        <v>61</v>
      </c>
      <c r="F128" s="530">
        <v>12.45</v>
      </c>
      <c r="G128" s="102">
        <v>15.31</v>
      </c>
      <c r="H128" s="102">
        <v>15.95</v>
      </c>
      <c r="I128" s="102">
        <f t="shared" si="7"/>
        <v>31.26</v>
      </c>
      <c r="J128" s="102">
        <f t="shared" si="8"/>
        <v>190.61</v>
      </c>
      <c r="K128" s="102">
        <f t="shared" si="9"/>
        <v>198.58</v>
      </c>
      <c r="L128" s="102">
        <f t="shared" si="10"/>
        <v>389.19</v>
      </c>
      <c r="M128" s="410">
        <v>0.25</v>
      </c>
      <c r="N128" s="408">
        <f t="shared" si="11"/>
        <v>486.49</v>
      </c>
      <c r="O128" s="579">
        <f t="shared" si="12"/>
        <v>3.6944800971000724E-4</v>
      </c>
      <c r="P128" s="171">
        <f t="shared" si="13"/>
        <v>0.98868429250121426</v>
      </c>
      <c r="Q128" s="104"/>
      <c r="R128" s="124"/>
      <c r="S128" s="358"/>
    </row>
    <row r="129" spans="1:19" s="72" customFormat="1" ht="30" x14ac:dyDescent="0.25">
      <c r="A129" s="524">
        <v>120</v>
      </c>
      <c r="B129" s="519" t="s">
        <v>94</v>
      </c>
      <c r="C129" s="519">
        <v>95747</v>
      </c>
      <c r="D129" s="559" t="s">
        <v>806</v>
      </c>
      <c r="E129" s="525" t="s">
        <v>58</v>
      </c>
      <c r="F129" s="530">
        <v>7</v>
      </c>
      <c r="G129" s="102">
        <v>7.25</v>
      </c>
      <c r="H129" s="102">
        <v>45.11</v>
      </c>
      <c r="I129" s="102">
        <f t="shared" si="7"/>
        <v>52.36</v>
      </c>
      <c r="J129" s="102">
        <f t="shared" si="8"/>
        <v>50.75</v>
      </c>
      <c r="K129" s="102">
        <f t="shared" si="9"/>
        <v>315.77</v>
      </c>
      <c r="L129" s="102">
        <f t="shared" si="10"/>
        <v>366.52</v>
      </c>
      <c r="M129" s="410">
        <v>0.25</v>
      </c>
      <c r="N129" s="408">
        <f t="shared" si="11"/>
        <v>458.15</v>
      </c>
      <c r="O129" s="579">
        <f t="shared" si="12"/>
        <v>3.4792617658870647E-4</v>
      </c>
      <c r="P129" s="171">
        <f t="shared" si="13"/>
        <v>0.989032218677803</v>
      </c>
      <c r="Q129" s="104"/>
      <c r="R129" s="124"/>
      <c r="S129" s="358"/>
    </row>
    <row r="130" spans="1:19" s="72" customFormat="1" x14ac:dyDescent="0.25">
      <c r="A130" s="524">
        <v>121</v>
      </c>
      <c r="B130" s="519" t="s">
        <v>115</v>
      </c>
      <c r="C130" s="519">
        <f>A130</f>
        <v>121</v>
      </c>
      <c r="D130" s="520" t="s">
        <v>146</v>
      </c>
      <c r="E130" s="525" t="s">
        <v>72</v>
      </c>
      <c r="F130" s="530">
        <v>3</v>
      </c>
      <c r="G130" s="102">
        <v>0</v>
      </c>
      <c r="H130" s="102">
        <v>120</v>
      </c>
      <c r="I130" s="102">
        <f t="shared" si="7"/>
        <v>120</v>
      </c>
      <c r="J130" s="102">
        <f t="shared" si="8"/>
        <v>0</v>
      </c>
      <c r="K130" s="102">
        <f t="shared" si="9"/>
        <v>360</v>
      </c>
      <c r="L130" s="102">
        <f t="shared" si="10"/>
        <v>360</v>
      </c>
      <c r="M130" s="410">
        <f>$F$6</f>
        <v>0.25</v>
      </c>
      <c r="N130" s="408">
        <f t="shared" si="11"/>
        <v>450</v>
      </c>
      <c r="O130" s="579">
        <f t="shared" si="12"/>
        <v>3.4173694088162812E-4</v>
      </c>
      <c r="P130" s="171">
        <f t="shared" si="13"/>
        <v>0.98937395561868458</v>
      </c>
      <c r="Q130" s="104"/>
      <c r="R130" s="124"/>
      <c r="S130" s="358"/>
    </row>
    <row r="131" spans="1:19" s="72" customFormat="1" ht="30" x14ac:dyDescent="0.25">
      <c r="A131" s="524">
        <v>122</v>
      </c>
      <c r="B131" s="518" t="s">
        <v>94</v>
      </c>
      <c r="C131" s="519">
        <v>100856</v>
      </c>
      <c r="D131" s="559" t="s">
        <v>629</v>
      </c>
      <c r="E131" s="521" t="s">
        <v>46</v>
      </c>
      <c r="F131" s="530">
        <v>10</v>
      </c>
      <c r="G131" s="102">
        <v>1.95</v>
      </c>
      <c r="H131" s="102">
        <v>33.43</v>
      </c>
      <c r="I131" s="102">
        <f t="shared" si="7"/>
        <v>35.380000000000003</v>
      </c>
      <c r="J131" s="102">
        <f t="shared" si="8"/>
        <v>19.5</v>
      </c>
      <c r="K131" s="102">
        <f t="shared" si="9"/>
        <v>334.3</v>
      </c>
      <c r="L131" s="102">
        <f t="shared" si="10"/>
        <v>353.8</v>
      </c>
      <c r="M131" s="410">
        <v>0.25</v>
      </c>
      <c r="N131" s="408">
        <f t="shared" si="11"/>
        <v>442.25</v>
      </c>
      <c r="O131" s="579">
        <f t="shared" si="12"/>
        <v>3.358514713442223E-4</v>
      </c>
      <c r="P131" s="171">
        <f t="shared" si="13"/>
        <v>0.98970980709002876</v>
      </c>
      <c r="Q131" s="104"/>
      <c r="R131" s="124"/>
      <c r="S131" s="358"/>
    </row>
    <row r="132" spans="1:19" s="72" customFormat="1" x14ac:dyDescent="0.25">
      <c r="A132" s="524">
        <v>123</v>
      </c>
      <c r="B132" s="518" t="s">
        <v>94</v>
      </c>
      <c r="C132" s="519">
        <v>89402</v>
      </c>
      <c r="D132" s="559" t="s">
        <v>648</v>
      </c>
      <c r="E132" s="521" t="s">
        <v>58</v>
      </c>
      <c r="F132" s="530">
        <v>36.83</v>
      </c>
      <c r="G132" s="102">
        <v>3.19</v>
      </c>
      <c r="H132" s="102">
        <v>6.13</v>
      </c>
      <c r="I132" s="102">
        <f t="shared" si="7"/>
        <v>9.32</v>
      </c>
      <c r="J132" s="102">
        <f t="shared" si="8"/>
        <v>117.49</v>
      </c>
      <c r="K132" s="102">
        <f t="shared" si="9"/>
        <v>225.77</v>
      </c>
      <c r="L132" s="102">
        <f t="shared" si="10"/>
        <v>343.26</v>
      </c>
      <c r="M132" s="410">
        <v>0.25</v>
      </c>
      <c r="N132" s="408">
        <f t="shared" si="11"/>
        <v>429.08</v>
      </c>
      <c r="O132" s="579">
        <f t="shared" si="12"/>
        <v>3.2584997020775329E-4</v>
      </c>
      <c r="P132" s="171">
        <f t="shared" si="13"/>
        <v>0.99003565706023655</v>
      </c>
      <c r="Q132" s="104"/>
      <c r="R132" s="124"/>
      <c r="S132" s="358"/>
    </row>
    <row r="133" spans="1:19" s="72" customFormat="1" x14ac:dyDescent="0.25">
      <c r="A133" s="524">
        <v>124</v>
      </c>
      <c r="B133" s="519" t="s">
        <v>115</v>
      </c>
      <c r="C133" s="519" t="s">
        <v>719</v>
      </c>
      <c r="D133" s="520" t="s">
        <v>883</v>
      </c>
      <c r="E133" s="521" t="s">
        <v>61</v>
      </c>
      <c r="F133" s="530">
        <v>4.87</v>
      </c>
      <c r="G133" s="102">
        <v>0</v>
      </c>
      <c r="H133" s="102">
        <v>69.8</v>
      </c>
      <c r="I133" s="102">
        <f t="shared" si="7"/>
        <v>69.8</v>
      </c>
      <c r="J133" s="102">
        <f t="shared" si="8"/>
        <v>0</v>
      </c>
      <c r="K133" s="102">
        <f t="shared" si="9"/>
        <v>339.93</v>
      </c>
      <c r="L133" s="102">
        <f t="shared" si="10"/>
        <v>339.93</v>
      </c>
      <c r="M133" s="410">
        <v>0.25</v>
      </c>
      <c r="N133" s="408">
        <f t="shared" si="11"/>
        <v>424.91</v>
      </c>
      <c r="O133" s="579">
        <f t="shared" si="12"/>
        <v>3.226832078889169E-4</v>
      </c>
      <c r="P133" s="171">
        <f t="shared" si="13"/>
        <v>0.99035834026812541</v>
      </c>
      <c r="Q133" s="104"/>
      <c r="R133" s="124"/>
      <c r="S133" s="358"/>
    </row>
    <row r="134" spans="1:19" s="72" customFormat="1" ht="30" x14ac:dyDescent="0.25">
      <c r="A134" s="524">
        <v>125</v>
      </c>
      <c r="B134" s="518" t="s">
        <v>115</v>
      </c>
      <c r="C134" s="518" t="s">
        <v>840</v>
      </c>
      <c r="D134" s="520" t="s">
        <v>850</v>
      </c>
      <c r="E134" s="521" t="s">
        <v>46</v>
      </c>
      <c r="F134" s="530">
        <v>1</v>
      </c>
      <c r="G134" s="102">
        <v>30.74</v>
      </c>
      <c r="H134" s="102">
        <v>291.39999999999998</v>
      </c>
      <c r="I134" s="102">
        <f t="shared" si="7"/>
        <v>322.14</v>
      </c>
      <c r="J134" s="102">
        <f t="shared" si="8"/>
        <v>30.74</v>
      </c>
      <c r="K134" s="102">
        <f t="shared" si="9"/>
        <v>291.39999999999998</v>
      </c>
      <c r="L134" s="102">
        <f t="shared" si="10"/>
        <v>322.14</v>
      </c>
      <c r="M134" s="410">
        <v>0.25</v>
      </c>
      <c r="N134" s="408">
        <f t="shared" si="11"/>
        <v>402.68</v>
      </c>
      <c r="O134" s="579">
        <f t="shared" si="12"/>
        <v>3.0580140300936445E-4</v>
      </c>
      <c r="P134" s="171">
        <f t="shared" si="13"/>
        <v>0.99066414167113481</v>
      </c>
      <c r="Q134" s="104"/>
      <c r="R134" s="124"/>
      <c r="S134" s="358"/>
    </row>
    <row r="135" spans="1:19" s="72" customFormat="1" x14ac:dyDescent="0.25">
      <c r="A135" s="524">
        <v>126</v>
      </c>
      <c r="B135" s="519" t="s">
        <v>94</v>
      </c>
      <c r="C135" s="519">
        <v>91959</v>
      </c>
      <c r="D135" s="559" t="s">
        <v>428</v>
      </c>
      <c r="E135" s="525" t="s">
        <v>46</v>
      </c>
      <c r="F135" s="530">
        <v>9</v>
      </c>
      <c r="G135" s="102">
        <v>14.4</v>
      </c>
      <c r="H135" s="102">
        <v>21.19</v>
      </c>
      <c r="I135" s="102">
        <f t="shared" si="7"/>
        <v>35.590000000000003</v>
      </c>
      <c r="J135" s="102">
        <f t="shared" si="8"/>
        <v>129.6</v>
      </c>
      <c r="K135" s="102">
        <f t="shared" si="9"/>
        <v>190.71</v>
      </c>
      <c r="L135" s="102">
        <f t="shared" si="10"/>
        <v>320.31</v>
      </c>
      <c r="M135" s="410">
        <v>0.25</v>
      </c>
      <c r="N135" s="408">
        <f t="shared" si="11"/>
        <v>400.39</v>
      </c>
      <c r="O135" s="579">
        <f t="shared" si="12"/>
        <v>3.0406234168798906E-4</v>
      </c>
      <c r="P135" s="171">
        <f t="shared" si="13"/>
        <v>0.99096820401282282</v>
      </c>
      <c r="Q135" s="104"/>
      <c r="R135" s="124"/>
      <c r="S135" s="358"/>
    </row>
    <row r="136" spans="1:19" s="72" customFormat="1" ht="30" x14ac:dyDescent="0.25">
      <c r="A136" s="524">
        <v>127</v>
      </c>
      <c r="B136" s="519" t="s">
        <v>115</v>
      </c>
      <c r="C136" s="519" t="s">
        <v>784</v>
      </c>
      <c r="D136" s="559" t="s">
        <v>436</v>
      </c>
      <c r="E136" s="525" t="s">
        <v>46</v>
      </c>
      <c r="F136" s="530">
        <v>49</v>
      </c>
      <c r="G136" s="102">
        <v>1.99</v>
      </c>
      <c r="H136" s="102">
        <v>4.29</v>
      </c>
      <c r="I136" s="102">
        <f t="shared" si="7"/>
        <v>6.28</v>
      </c>
      <c r="J136" s="102">
        <f t="shared" si="8"/>
        <v>97.51</v>
      </c>
      <c r="K136" s="102">
        <f t="shared" si="9"/>
        <v>210.21</v>
      </c>
      <c r="L136" s="102">
        <f t="shared" si="10"/>
        <v>307.72000000000003</v>
      </c>
      <c r="M136" s="410">
        <v>0.25</v>
      </c>
      <c r="N136" s="408">
        <f t="shared" si="11"/>
        <v>384.65</v>
      </c>
      <c r="O136" s="579">
        <f t="shared" si="12"/>
        <v>2.9210914291137385E-4</v>
      </c>
      <c r="P136" s="171">
        <f t="shared" si="13"/>
        <v>0.99126031315573415</v>
      </c>
      <c r="Q136" s="104"/>
      <c r="R136" s="124"/>
      <c r="S136" s="358"/>
    </row>
    <row r="137" spans="1:19" s="72" customFormat="1" ht="30" x14ac:dyDescent="0.25">
      <c r="A137" s="524">
        <v>128</v>
      </c>
      <c r="B137" s="518" t="s">
        <v>115</v>
      </c>
      <c r="C137" s="518" t="s">
        <v>844</v>
      </c>
      <c r="D137" s="520" t="s">
        <v>515</v>
      </c>
      <c r="E137" s="521" t="s">
        <v>46</v>
      </c>
      <c r="F137" s="530">
        <v>3</v>
      </c>
      <c r="G137" s="102">
        <v>32.94</v>
      </c>
      <c r="H137" s="102">
        <v>68.88</v>
      </c>
      <c r="I137" s="102">
        <f t="shared" si="7"/>
        <v>101.82</v>
      </c>
      <c r="J137" s="102">
        <f t="shared" si="8"/>
        <v>98.82</v>
      </c>
      <c r="K137" s="102">
        <f t="shared" si="9"/>
        <v>206.64</v>
      </c>
      <c r="L137" s="102">
        <f t="shared" si="10"/>
        <v>305.45999999999998</v>
      </c>
      <c r="M137" s="410">
        <v>0.25</v>
      </c>
      <c r="N137" s="408">
        <f t="shared" si="11"/>
        <v>381.83</v>
      </c>
      <c r="O137" s="579">
        <f t="shared" si="12"/>
        <v>2.8996759141518231E-4</v>
      </c>
      <c r="P137" s="171">
        <f t="shared" si="13"/>
        <v>0.99155028074714935</v>
      </c>
      <c r="Q137" s="104"/>
      <c r="R137" s="124"/>
      <c r="S137" s="358"/>
    </row>
    <row r="138" spans="1:19" s="72" customFormat="1" x14ac:dyDescent="0.25">
      <c r="A138" s="524">
        <v>129</v>
      </c>
      <c r="B138" s="519" t="s">
        <v>94</v>
      </c>
      <c r="C138" s="519">
        <v>99805</v>
      </c>
      <c r="D138" s="520" t="s">
        <v>420</v>
      </c>
      <c r="E138" s="525" t="s">
        <v>61</v>
      </c>
      <c r="F138" s="530">
        <v>33.82</v>
      </c>
      <c r="G138" s="102">
        <v>6.38</v>
      </c>
      <c r="H138" s="102">
        <v>2.36</v>
      </c>
      <c r="I138" s="102">
        <f t="shared" ref="I138:I201" si="14">+ROUND(G138+H138,2)</f>
        <v>8.74</v>
      </c>
      <c r="J138" s="102">
        <f t="shared" ref="J138:J201" si="15">ROUND(G138*F138,2)</f>
        <v>215.77</v>
      </c>
      <c r="K138" s="102">
        <f t="shared" ref="K138:K201" si="16">ROUND(H138*F138,2)</f>
        <v>79.819999999999993</v>
      </c>
      <c r="L138" s="102">
        <f t="shared" ref="L138:L201" si="17">ROUND(I138*F138,2)</f>
        <v>295.58999999999997</v>
      </c>
      <c r="M138" s="410">
        <v>0.25</v>
      </c>
      <c r="N138" s="408">
        <f t="shared" ref="N138:N201" si="18">ROUND(L138*(1+M138),2)</f>
        <v>369.49</v>
      </c>
      <c r="O138" s="579">
        <f t="shared" si="12"/>
        <v>2.8059640508078395E-4</v>
      </c>
      <c r="P138" s="171">
        <f t="shared" si="13"/>
        <v>0.99183087715223017</v>
      </c>
      <c r="Q138" s="104"/>
      <c r="R138" s="124"/>
      <c r="S138" s="358"/>
    </row>
    <row r="139" spans="1:19" s="72" customFormat="1" x14ac:dyDescent="0.25">
      <c r="A139" s="524">
        <v>130</v>
      </c>
      <c r="B139" s="519" t="s">
        <v>94</v>
      </c>
      <c r="C139" s="519">
        <v>91967</v>
      </c>
      <c r="D139" s="559" t="s">
        <v>440</v>
      </c>
      <c r="E139" s="525" t="s">
        <v>46</v>
      </c>
      <c r="F139" s="530">
        <v>6</v>
      </c>
      <c r="G139" s="102">
        <v>19.55</v>
      </c>
      <c r="H139" s="102">
        <v>29.14</v>
      </c>
      <c r="I139" s="102">
        <f t="shared" si="14"/>
        <v>48.69</v>
      </c>
      <c r="J139" s="102">
        <f t="shared" si="15"/>
        <v>117.3</v>
      </c>
      <c r="K139" s="102">
        <f t="shared" si="16"/>
        <v>174.84</v>
      </c>
      <c r="L139" s="102">
        <f t="shared" si="17"/>
        <v>292.14</v>
      </c>
      <c r="M139" s="410">
        <v>0.25</v>
      </c>
      <c r="N139" s="408">
        <f t="shared" si="18"/>
        <v>365.18</v>
      </c>
      <c r="O139" s="579">
        <f t="shared" ref="O139:O202" si="19">N139/$N$219</f>
        <v>2.7732332460256212E-4</v>
      </c>
      <c r="P139" s="171">
        <f t="shared" si="13"/>
        <v>0.99210820047683268</v>
      </c>
      <c r="Q139" s="104"/>
      <c r="R139" s="124"/>
      <c r="S139" s="358"/>
    </row>
    <row r="140" spans="1:19" s="72" customFormat="1" x14ac:dyDescent="0.25">
      <c r="A140" s="524">
        <v>131</v>
      </c>
      <c r="B140" s="519" t="s">
        <v>115</v>
      </c>
      <c r="C140" s="519">
        <f>A140</f>
        <v>131</v>
      </c>
      <c r="D140" s="520" t="s">
        <v>139</v>
      </c>
      <c r="E140" s="525" t="s">
        <v>46</v>
      </c>
      <c r="F140" s="530">
        <v>15</v>
      </c>
      <c r="G140" s="102">
        <v>0.86</v>
      </c>
      <c r="H140" s="102">
        <v>18.420000000000002</v>
      </c>
      <c r="I140" s="102">
        <f t="shared" si="14"/>
        <v>19.28</v>
      </c>
      <c r="J140" s="102">
        <f t="shared" si="15"/>
        <v>12.9</v>
      </c>
      <c r="K140" s="102">
        <f t="shared" si="16"/>
        <v>276.3</v>
      </c>
      <c r="L140" s="102">
        <f t="shared" si="17"/>
        <v>289.2</v>
      </c>
      <c r="M140" s="410">
        <f>$F$6</f>
        <v>0.25</v>
      </c>
      <c r="N140" s="408">
        <f t="shared" si="18"/>
        <v>361.5</v>
      </c>
      <c r="O140" s="579">
        <f t="shared" si="19"/>
        <v>2.7452867584157456E-4</v>
      </c>
      <c r="P140" s="171">
        <f t="shared" ref="P140:P203" si="20">P139+O140</f>
        <v>0.99238272915267423</v>
      </c>
      <c r="Q140" s="104"/>
      <c r="R140" s="124"/>
      <c r="S140" s="358"/>
    </row>
    <row r="141" spans="1:19" s="72" customFormat="1" x14ac:dyDescent="0.25">
      <c r="A141" s="524">
        <v>132</v>
      </c>
      <c r="B141" s="519" t="s">
        <v>94</v>
      </c>
      <c r="C141" s="519">
        <v>91953</v>
      </c>
      <c r="D141" s="559" t="s">
        <v>427</v>
      </c>
      <c r="E141" s="525" t="s">
        <v>46</v>
      </c>
      <c r="F141" s="530">
        <v>12</v>
      </c>
      <c r="G141" s="102">
        <v>9.2799999999999994</v>
      </c>
      <c r="H141" s="102">
        <v>13.21</v>
      </c>
      <c r="I141" s="102">
        <f t="shared" si="14"/>
        <v>22.49</v>
      </c>
      <c r="J141" s="102">
        <f t="shared" si="15"/>
        <v>111.36</v>
      </c>
      <c r="K141" s="102">
        <f t="shared" si="16"/>
        <v>158.52000000000001</v>
      </c>
      <c r="L141" s="102">
        <f t="shared" si="17"/>
        <v>269.88</v>
      </c>
      <c r="M141" s="410">
        <v>0.25</v>
      </c>
      <c r="N141" s="408">
        <f t="shared" si="18"/>
        <v>337.35</v>
      </c>
      <c r="O141" s="579">
        <f t="shared" si="19"/>
        <v>2.5618879334759386E-4</v>
      </c>
      <c r="P141" s="171">
        <f t="shared" si="20"/>
        <v>0.99263891794602177</v>
      </c>
      <c r="Q141" s="104"/>
      <c r="R141" s="124"/>
      <c r="S141" s="358"/>
    </row>
    <row r="142" spans="1:19" s="72" customFormat="1" x14ac:dyDescent="0.25">
      <c r="A142" s="524">
        <v>133</v>
      </c>
      <c r="B142" s="518" t="s">
        <v>115</v>
      </c>
      <c r="C142" s="518" t="s">
        <v>846</v>
      </c>
      <c r="D142" s="520" t="s">
        <v>487</v>
      </c>
      <c r="E142" s="521" t="s">
        <v>46</v>
      </c>
      <c r="F142" s="530">
        <v>1</v>
      </c>
      <c r="G142" s="102">
        <v>268.43</v>
      </c>
      <c r="H142" s="102">
        <v>0</v>
      </c>
      <c r="I142" s="102">
        <f t="shared" si="14"/>
        <v>268.43</v>
      </c>
      <c r="J142" s="102">
        <f t="shared" si="15"/>
        <v>268.43</v>
      </c>
      <c r="K142" s="102">
        <f t="shared" si="16"/>
        <v>0</v>
      </c>
      <c r="L142" s="102">
        <f t="shared" si="17"/>
        <v>268.43</v>
      </c>
      <c r="M142" s="410">
        <v>0.25</v>
      </c>
      <c r="N142" s="408">
        <f t="shared" si="18"/>
        <v>335.54</v>
      </c>
      <c r="O142" s="579">
        <f t="shared" si="19"/>
        <v>2.5481425142982554E-4</v>
      </c>
      <c r="P142" s="171">
        <f t="shared" si="20"/>
        <v>0.99289373219745158</v>
      </c>
      <c r="Q142" s="104"/>
      <c r="R142" s="124"/>
      <c r="S142" s="358"/>
    </row>
    <row r="143" spans="1:19" s="72" customFormat="1" x14ac:dyDescent="0.25">
      <c r="A143" s="524">
        <v>134</v>
      </c>
      <c r="B143" s="519" t="s">
        <v>115</v>
      </c>
      <c r="C143" s="519" t="s">
        <v>804</v>
      </c>
      <c r="D143" s="559" t="s">
        <v>477</v>
      </c>
      <c r="E143" s="525" t="s">
        <v>46</v>
      </c>
      <c r="F143" s="530">
        <v>59</v>
      </c>
      <c r="G143" s="102">
        <v>4.5199999999999996</v>
      </c>
      <c r="H143" s="102">
        <v>0</v>
      </c>
      <c r="I143" s="102">
        <f t="shared" si="14"/>
        <v>4.5199999999999996</v>
      </c>
      <c r="J143" s="102">
        <f t="shared" si="15"/>
        <v>266.68</v>
      </c>
      <c r="K143" s="102">
        <f t="shared" si="16"/>
        <v>0</v>
      </c>
      <c r="L143" s="102">
        <f t="shared" si="17"/>
        <v>266.68</v>
      </c>
      <c r="M143" s="410">
        <v>0.25</v>
      </c>
      <c r="N143" s="408">
        <f t="shared" si="18"/>
        <v>333.35</v>
      </c>
      <c r="O143" s="579">
        <f t="shared" si="19"/>
        <v>2.5315113165086828E-4</v>
      </c>
      <c r="P143" s="171">
        <f t="shared" si="20"/>
        <v>0.9931468833291025</v>
      </c>
      <c r="Q143" s="104"/>
      <c r="R143" s="124"/>
      <c r="S143" s="358"/>
    </row>
    <row r="144" spans="1:19" s="72" customFormat="1" x14ac:dyDescent="0.25">
      <c r="A144" s="524">
        <v>135</v>
      </c>
      <c r="B144" s="519" t="s">
        <v>115</v>
      </c>
      <c r="C144" s="519">
        <f>A144</f>
        <v>135</v>
      </c>
      <c r="D144" s="520" t="s">
        <v>153</v>
      </c>
      <c r="E144" s="525" t="s">
        <v>61</v>
      </c>
      <c r="F144" s="530">
        <v>1</v>
      </c>
      <c r="G144" s="102">
        <v>30.09</v>
      </c>
      <c r="H144" s="102">
        <v>236.25</v>
      </c>
      <c r="I144" s="102">
        <f t="shared" si="14"/>
        <v>266.33999999999997</v>
      </c>
      <c r="J144" s="102">
        <f t="shared" si="15"/>
        <v>30.09</v>
      </c>
      <c r="K144" s="102">
        <f t="shared" si="16"/>
        <v>236.25</v>
      </c>
      <c r="L144" s="102">
        <f t="shared" si="17"/>
        <v>266.33999999999997</v>
      </c>
      <c r="M144" s="410">
        <f>$F$6</f>
        <v>0.25</v>
      </c>
      <c r="N144" s="408">
        <f t="shared" si="18"/>
        <v>332.93</v>
      </c>
      <c r="O144" s="579">
        <f t="shared" si="19"/>
        <v>2.5283217717271208E-4</v>
      </c>
      <c r="P144" s="171">
        <f t="shared" si="20"/>
        <v>0.99339971550627526</v>
      </c>
      <c r="Q144" s="104"/>
      <c r="R144" s="124"/>
      <c r="S144" s="358"/>
    </row>
    <row r="145" spans="1:19" s="72" customFormat="1" x14ac:dyDescent="0.25">
      <c r="A145" s="524">
        <v>136</v>
      </c>
      <c r="B145" s="519" t="s">
        <v>115</v>
      </c>
      <c r="C145" s="519" t="s">
        <v>419</v>
      </c>
      <c r="D145" s="520" t="s">
        <v>879</v>
      </c>
      <c r="E145" s="525" t="s">
        <v>58</v>
      </c>
      <c r="F145" s="530">
        <v>10.15</v>
      </c>
      <c r="G145" s="102">
        <v>5.68</v>
      </c>
      <c r="H145" s="102">
        <v>18.84</v>
      </c>
      <c r="I145" s="102">
        <f t="shared" si="14"/>
        <v>24.52</v>
      </c>
      <c r="J145" s="102">
        <f t="shared" si="15"/>
        <v>57.65</v>
      </c>
      <c r="K145" s="102">
        <f t="shared" si="16"/>
        <v>191.23</v>
      </c>
      <c r="L145" s="102">
        <f t="shared" si="17"/>
        <v>248.88</v>
      </c>
      <c r="M145" s="410">
        <v>0.25</v>
      </c>
      <c r="N145" s="408">
        <f t="shared" si="18"/>
        <v>311.10000000000002</v>
      </c>
      <c r="O145" s="579">
        <f t="shared" si="19"/>
        <v>2.3625413846283224E-4</v>
      </c>
      <c r="P145" s="171">
        <f t="shared" si="20"/>
        <v>0.9936359696447381</v>
      </c>
      <c r="Q145" s="104"/>
      <c r="R145" s="124"/>
      <c r="S145" s="358"/>
    </row>
    <row r="146" spans="1:19" s="72" customFormat="1" x14ac:dyDescent="0.25">
      <c r="A146" s="524">
        <v>137</v>
      </c>
      <c r="B146" s="519" t="s">
        <v>115</v>
      </c>
      <c r="C146" s="519">
        <f>A146</f>
        <v>137</v>
      </c>
      <c r="D146" s="520" t="s">
        <v>144</v>
      </c>
      <c r="E146" s="525" t="s">
        <v>72</v>
      </c>
      <c r="F146" s="530">
        <v>3</v>
      </c>
      <c r="G146" s="102">
        <v>0</v>
      </c>
      <c r="H146" s="102">
        <v>80</v>
      </c>
      <c r="I146" s="102">
        <f t="shared" si="14"/>
        <v>80</v>
      </c>
      <c r="J146" s="102">
        <f t="shared" si="15"/>
        <v>0</v>
      </c>
      <c r="K146" s="102">
        <f t="shared" si="16"/>
        <v>240</v>
      </c>
      <c r="L146" s="102">
        <f t="shared" si="17"/>
        <v>240</v>
      </c>
      <c r="M146" s="410">
        <f>$F$6</f>
        <v>0.25</v>
      </c>
      <c r="N146" s="408">
        <f t="shared" si="18"/>
        <v>300</v>
      </c>
      <c r="O146" s="579">
        <f t="shared" si="19"/>
        <v>2.2782462725441874E-4</v>
      </c>
      <c r="P146" s="171">
        <f t="shared" si="20"/>
        <v>0.99386379427199256</v>
      </c>
      <c r="Q146" s="104"/>
      <c r="R146" s="124"/>
      <c r="S146" s="358"/>
    </row>
    <row r="147" spans="1:19" s="72" customFormat="1" x14ac:dyDescent="0.25">
      <c r="A147" s="524">
        <v>138</v>
      </c>
      <c r="B147" s="518" t="s">
        <v>94</v>
      </c>
      <c r="C147" s="519">
        <v>89641</v>
      </c>
      <c r="D147" s="559" t="s">
        <v>710</v>
      </c>
      <c r="E147" s="521" t="s">
        <v>46</v>
      </c>
      <c r="F147" s="530">
        <v>20</v>
      </c>
      <c r="G147" s="102">
        <v>3.89</v>
      </c>
      <c r="H147" s="102">
        <v>7.94</v>
      </c>
      <c r="I147" s="102">
        <f t="shared" si="14"/>
        <v>11.83</v>
      </c>
      <c r="J147" s="102">
        <f t="shared" si="15"/>
        <v>77.8</v>
      </c>
      <c r="K147" s="102">
        <f t="shared" si="16"/>
        <v>158.80000000000001</v>
      </c>
      <c r="L147" s="102">
        <f t="shared" si="17"/>
        <v>236.6</v>
      </c>
      <c r="M147" s="410">
        <v>0.25</v>
      </c>
      <c r="N147" s="408">
        <f t="shared" si="18"/>
        <v>295.75</v>
      </c>
      <c r="O147" s="579">
        <f t="shared" si="19"/>
        <v>2.2459711170164779E-4</v>
      </c>
      <c r="P147" s="171">
        <f t="shared" si="20"/>
        <v>0.9940883913836942</v>
      </c>
      <c r="Q147" s="104"/>
      <c r="R147" s="124"/>
      <c r="S147" s="358"/>
    </row>
    <row r="148" spans="1:19" s="72" customFormat="1" ht="30" x14ac:dyDescent="0.25">
      <c r="A148" s="524">
        <v>139</v>
      </c>
      <c r="B148" s="519" t="s">
        <v>94</v>
      </c>
      <c r="C148" s="519">
        <v>93670</v>
      </c>
      <c r="D148" s="559" t="s">
        <v>761</v>
      </c>
      <c r="E148" s="525" t="s">
        <v>46</v>
      </c>
      <c r="F148" s="530">
        <v>3</v>
      </c>
      <c r="G148" s="102">
        <v>6.17</v>
      </c>
      <c r="H148" s="102">
        <v>71.42</v>
      </c>
      <c r="I148" s="102">
        <f t="shared" si="14"/>
        <v>77.59</v>
      </c>
      <c r="J148" s="102">
        <f t="shared" si="15"/>
        <v>18.510000000000002</v>
      </c>
      <c r="K148" s="102">
        <f t="shared" si="16"/>
        <v>214.26</v>
      </c>
      <c r="L148" s="102">
        <f t="shared" si="17"/>
        <v>232.77</v>
      </c>
      <c r="M148" s="410">
        <v>0.25</v>
      </c>
      <c r="N148" s="408">
        <f t="shared" si="18"/>
        <v>290.95999999999998</v>
      </c>
      <c r="O148" s="579">
        <f t="shared" si="19"/>
        <v>2.209595118198189E-4</v>
      </c>
      <c r="P148" s="171">
        <f t="shared" si="20"/>
        <v>0.99430935089551398</v>
      </c>
      <c r="Q148" s="104"/>
      <c r="R148" s="124"/>
      <c r="S148" s="358"/>
    </row>
    <row r="149" spans="1:19" s="72" customFormat="1" ht="30" x14ac:dyDescent="0.25">
      <c r="A149" s="524">
        <v>140</v>
      </c>
      <c r="B149" s="518" t="s">
        <v>94</v>
      </c>
      <c r="C149" s="519">
        <v>97622</v>
      </c>
      <c r="D149" s="520" t="s">
        <v>866</v>
      </c>
      <c r="E149" s="521" t="s">
        <v>868</v>
      </c>
      <c r="F149" s="530">
        <v>4.8674999999999997</v>
      </c>
      <c r="G149" s="102">
        <v>33.69</v>
      </c>
      <c r="H149" s="102">
        <v>10.73</v>
      </c>
      <c r="I149" s="102">
        <f t="shared" si="14"/>
        <v>44.42</v>
      </c>
      <c r="J149" s="102">
        <f t="shared" si="15"/>
        <v>163.99</v>
      </c>
      <c r="K149" s="102">
        <f t="shared" si="16"/>
        <v>52.23</v>
      </c>
      <c r="L149" s="102">
        <f t="shared" si="17"/>
        <v>216.21</v>
      </c>
      <c r="M149" s="410">
        <v>0.25</v>
      </c>
      <c r="N149" s="408">
        <f t="shared" si="18"/>
        <v>270.26</v>
      </c>
      <c r="O149" s="579">
        <f t="shared" si="19"/>
        <v>2.0523961253926401E-4</v>
      </c>
      <c r="P149" s="171">
        <f t="shared" si="20"/>
        <v>0.99451459050805324</v>
      </c>
      <c r="Q149" s="104"/>
      <c r="R149" s="124"/>
      <c r="S149" s="358"/>
    </row>
    <row r="150" spans="1:19" s="72" customFormat="1" x14ac:dyDescent="0.25">
      <c r="A150" s="524">
        <v>141</v>
      </c>
      <c r="B150" s="518" t="s">
        <v>115</v>
      </c>
      <c r="C150" s="518">
        <f>A150</f>
        <v>141</v>
      </c>
      <c r="D150" s="520" t="s">
        <v>162</v>
      </c>
      <c r="E150" s="525" t="s">
        <v>46</v>
      </c>
      <c r="F150" s="530">
        <v>1</v>
      </c>
      <c r="G150" s="102">
        <v>4.28</v>
      </c>
      <c r="H150" s="102">
        <v>193.27</v>
      </c>
      <c r="I150" s="102">
        <f t="shared" si="14"/>
        <v>197.55</v>
      </c>
      <c r="J150" s="102">
        <f t="shared" si="15"/>
        <v>4.28</v>
      </c>
      <c r="K150" s="102">
        <f t="shared" si="16"/>
        <v>193.27</v>
      </c>
      <c r="L150" s="102">
        <f t="shared" si="17"/>
        <v>197.55</v>
      </c>
      <c r="M150" s="410">
        <f>$F$6</f>
        <v>0.25</v>
      </c>
      <c r="N150" s="408">
        <f t="shared" si="18"/>
        <v>246.94</v>
      </c>
      <c r="O150" s="579">
        <f t="shared" si="19"/>
        <v>1.8753004484735387E-4</v>
      </c>
      <c r="P150" s="171">
        <f t="shared" si="20"/>
        <v>0.99470212055290064</v>
      </c>
      <c r="Q150" s="104"/>
      <c r="R150" s="124"/>
      <c r="S150" s="358"/>
    </row>
    <row r="151" spans="1:19" s="72" customFormat="1" ht="30" x14ac:dyDescent="0.25">
      <c r="A151" s="524">
        <v>142</v>
      </c>
      <c r="B151" s="519" t="s">
        <v>94</v>
      </c>
      <c r="C151" s="519">
        <v>93673</v>
      </c>
      <c r="D151" s="559" t="s">
        <v>763</v>
      </c>
      <c r="E151" s="525" t="s">
        <v>46</v>
      </c>
      <c r="F151" s="530">
        <v>2</v>
      </c>
      <c r="G151" s="102">
        <v>17.649999999999999</v>
      </c>
      <c r="H151" s="102">
        <v>76.47</v>
      </c>
      <c r="I151" s="102">
        <f t="shared" si="14"/>
        <v>94.12</v>
      </c>
      <c r="J151" s="102">
        <f t="shared" si="15"/>
        <v>35.299999999999997</v>
      </c>
      <c r="K151" s="102">
        <f t="shared" si="16"/>
        <v>152.94</v>
      </c>
      <c r="L151" s="102">
        <f t="shared" si="17"/>
        <v>188.24</v>
      </c>
      <c r="M151" s="410">
        <v>0.25</v>
      </c>
      <c r="N151" s="408">
        <f t="shared" si="18"/>
        <v>235.3</v>
      </c>
      <c r="O151" s="579">
        <f t="shared" si="19"/>
        <v>1.7869044930988244E-4</v>
      </c>
      <c r="P151" s="171">
        <f t="shared" si="20"/>
        <v>0.99488081100221049</v>
      </c>
      <c r="Q151" s="104"/>
      <c r="R151" s="124"/>
      <c r="S151" s="358"/>
    </row>
    <row r="152" spans="1:19" s="72" customFormat="1" x14ac:dyDescent="0.25">
      <c r="A152" s="524">
        <v>143</v>
      </c>
      <c r="B152" s="518" t="s">
        <v>115</v>
      </c>
      <c r="C152" s="518" t="s">
        <v>837</v>
      </c>
      <c r="D152" s="520" t="s">
        <v>921</v>
      </c>
      <c r="E152" s="521" t="s">
        <v>46</v>
      </c>
      <c r="F152" s="530">
        <v>1</v>
      </c>
      <c r="G152" s="102">
        <v>21.97</v>
      </c>
      <c r="H152" s="102">
        <v>158.88</v>
      </c>
      <c r="I152" s="102">
        <f t="shared" si="14"/>
        <v>180.85</v>
      </c>
      <c r="J152" s="102">
        <f t="shared" si="15"/>
        <v>21.97</v>
      </c>
      <c r="K152" s="102">
        <f t="shared" si="16"/>
        <v>158.88</v>
      </c>
      <c r="L152" s="102">
        <f t="shared" si="17"/>
        <v>180.85</v>
      </c>
      <c r="M152" s="410">
        <v>0.25</v>
      </c>
      <c r="N152" s="408">
        <f t="shared" si="18"/>
        <v>226.06</v>
      </c>
      <c r="O152" s="579">
        <f t="shared" si="19"/>
        <v>1.7167345079044632E-4</v>
      </c>
      <c r="P152" s="171">
        <f t="shared" si="20"/>
        <v>0.99505248445300098</v>
      </c>
      <c r="Q152" s="104"/>
      <c r="R152" s="124"/>
      <c r="S152" s="358"/>
    </row>
    <row r="153" spans="1:19" s="72" customFormat="1" ht="30" x14ac:dyDescent="0.25">
      <c r="A153" s="524">
        <v>144</v>
      </c>
      <c r="B153" s="519" t="s">
        <v>94</v>
      </c>
      <c r="C153" s="519">
        <v>93661</v>
      </c>
      <c r="D153" s="559" t="s">
        <v>756</v>
      </c>
      <c r="E153" s="525" t="s">
        <v>46</v>
      </c>
      <c r="F153" s="530">
        <v>3</v>
      </c>
      <c r="G153" s="102">
        <v>2.95</v>
      </c>
      <c r="H153" s="102">
        <v>56.62</v>
      </c>
      <c r="I153" s="102">
        <f t="shared" si="14"/>
        <v>59.57</v>
      </c>
      <c r="J153" s="102">
        <f t="shared" si="15"/>
        <v>8.85</v>
      </c>
      <c r="K153" s="102">
        <f t="shared" si="16"/>
        <v>169.86</v>
      </c>
      <c r="L153" s="102">
        <f t="shared" si="17"/>
        <v>178.71</v>
      </c>
      <c r="M153" s="410">
        <v>0.25</v>
      </c>
      <c r="N153" s="408">
        <f t="shared" si="18"/>
        <v>223.39</v>
      </c>
      <c r="O153" s="579">
        <f t="shared" si="19"/>
        <v>1.6964581160788198E-4</v>
      </c>
      <c r="P153" s="171">
        <f t="shared" si="20"/>
        <v>0.99522213026460882</v>
      </c>
      <c r="Q153" s="104"/>
      <c r="R153" s="124"/>
      <c r="S153" s="358"/>
    </row>
    <row r="154" spans="1:19" s="72" customFormat="1" x14ac:dyDescent="0.25">
      <c r="A154" s="524">
        <v>145</v>
      </c>
      <c r="B154" s="518" t="s">
        <v>94</v>
      </c>
      <c r="C154" s="519">
        <v>89717</v>
      </c>
      <c r="D154" s="559" t="s">
        <v>814</v>
      </c>
      <c r="E154" s="521" t="s">
        <v>58</v>
      </c>
      <c r="F154" s="530">
        <v>4.57</v>
      </c>
      <c r="G154" s="102">
        <v>3.42</v>
      </c>
      <c r="H154" s="102">
        <v>34.380000000000003</v>
      </c>
      <c r="I154" s="102">
        <f t="shared" si="14"/>
        <v>37.799999999999997</v>
      </c>
      <c r="J154" s="102">
        <f t="shared" si="15"/>
        <v>15.63</v>
      </c>
      <c r="K154" s="102">
        <f t="shared" si="16"/>
        <v>157.12</v>
      </c>
      <c r="L154" s="102">
        <f t="shared" si="17"/>
        <v>172.75</v>
      </c>
      <c r="M154" s="410">
        <v>0.25</v>
      </c>
      <c r="N154" s="408">
        <f t="shared" si="18"/>
        <v>215.94</v>
      </c>
      <c r="O154" s="579">
        <f t="shared" si="19"/>
        <v>1.639881666977306E-4</v>
      </c>
      <c r="P154" s="171">
        <f t="shared" si="20"/>
        <v>0.99538611843130653</v>
      </c>
      <c r="Q154" s="104"/>
      <c r="R154" s="124"/>
      <c r="S154" s="358"/>
    </row>
    <row r="155" spans="1:19" s="72" customFormat="1" ht="30" x14ac:dyDescent="0.25">
      <c r="A155" s="524">
        <v>146</v>
      </c>
      <c r="B155" s="519" t="s">
        <v>94</v>
      </c>
      <c r="C155" s="519">
        <v>96373</v>
      </c>
      <c r="D155" s="520" t="s">
        <v>720</v>
      </c>
      <c r="E155" s="521" t="s">
        <v>58</v>
      </c>
      <c r="F155" s="530">
        <v>14.54</v>
      </c>
      <c r="G155" s="102">
        <v>1.25</v>
      </c>
      <c r="H155" s="102">
        <v>10.35</v>
      </c>
      <c r="I155" s="102">
        <f t="shared" si="14"/>
        <v>11.6</v>
      </c>
      <c r="J155" s="102">
        <f t="shared" si="15"/>
        <v>18.18</v>
      </c>
      <c r="K155" s="102">
        <f t="shared" si="16"/>
        <v>150.49</v>
      </c>
      <c r="L155" s="102">
        <f t="shared" si="17"/>
        <v>168.66</v>
      </c>
      <c r="M155" s="410">
        <v>0.25</v>
      </c>
      <c r="N155" s="408">
        <f t="shared" si="18"/>
        <v>210.83</v>
      </c>
      <c r="O155" s="579">
        <f t="shared" si="19"/>
        <v>1.6010755388016368E-4</v>
      </c>
      <c r="P155" s="171">
        <f t="shared" si="20"/>
        <v>0.99554622598518672</v>
      </c>
      <c r="Q155" s="104"/>
      <c r="R155" s="124"/>
      <c r="S155" s="358"/>
    </row>
    <row r="156" spans="1:19" s="72" customFormat="1" x14ac:dyDescent="0.25">
      <c r="A156" s="524">
        <v>147</v>
      </c>
      <c r="B156" s="518" t="s">
        <v>94</v>
      </c>
      <c r="C156" s="519">
        <v>89644</v>
      </c>
      <c r="D156" s="559" t="s">
        <v>711</v>
      </c>
      <c r="E156" s="521" t="s">
        <v>46</v>
      </c>
      <c r="F156" s="530">
        <v>7</v>
      </c>
      <c r="G156" s="102">
        <v>3.88</v>
      </c>
      <c r="H156" s="102">
        <v>19.850000000000001</v>
      </c>
      <c r="I156" s="102">
        <f t="shared" si="14"/>
        <v>23.73</v>
      </c>
      <c r="J156" s="102">
        <f t="shared" si="15"/>
        <v>27.16</v>
      </c>
      <c r="K156" s="102">
        <f t="shared" si="16"/>
        <v>138.94999999999999</v>
      </c>
      <c r="L156" s="102">
        <f t="shared" si="17"/>
        <v>166.11</v>
      </c>
      <c r="M156" s="410">
        <v>0.25</v>
      </c>
      <c r="N156" s="408">
        <f t="shared" si="18"/>
        <v>207.64</v>
      </c>
      <c r="O156" s="579">
        <f t="shared" si="19"/>
        <v>1.5768501867702501E-4</v>
      </c>
      <c r="P156" s="171">
        <f t="shared" si="20"/>
        <v>0.9957039110038638</v>
      </c>
      <c r="Q156" s="104"/>
      <c r="R156" s="124"/>
      <c r="S156" s="358"/>
    </row>
    <row r="157" spans="1:19" s="72" customFormat="1" x14ac:dyDescent="0.25">
      <c r="A157" s="524">
        <v>148</v>
      </c>
      <c r="B157" s="518" t="s">
        <v>115</v>
      </c>
      <c r="C157" s="518" t="s">
        <v>834</v>
      </c>
      <c r="D157" s="520" t="s">
        <v>848</v>
      </c>
      <c r="E157" s="521" t="s">
        <v>46</v>
      </c>
      <c r="F157" s="530">
        <v>1</v>
      </c>
      <c r="G157" s="102">
        <v>30.74</v>
      </c>
      <c r="H157" s="102">
        <v>133.44</v>
      </c>
      <c r="I157" s="102">
        <f t="shared" si="14"/>
        <v>164.18</v>
      </c>
      <c r="J157" s="102">
        <f t="shared" si="15"/>
        <v>30.74</v>
      </c>
      <c r="K157" s="102">
        <f t="shared" si="16"/>
        <v>133.44</v>
      </c>
      <c r="L157" s="102">
        <f t="shared" si="17"/>
        <v>164.18</v>
      </c>
      <c r="M157" s="410">
        <v>0.25</v>
      </c>
      <c r="N157" s="408">
        <f t="shared" si="18"/>
        <v>205.23</v>
      </c>
      <c r="O157" s="579">
        <f t="shared" si="19"/>
        <v>1.5585482750474786E-4</v>
      </c>
      <c r="P157" s="171">
        <f t="shared" si="20"/>
        <v>0.99585976583136859</v>
      </c>
      <c r="Q157" s="104"/>
      <c r="R157" s="124"/>
      <c r="S157" s="358"/>
    </row>
    <row r="158" spans="1:19" s="72" customFormat="1" ht="30" x14ac:dyDescent="0.25">
      <c r="A158" s="524">
        <v>149</v>
      </c>
      <c r="B158" s="518" t="s">
        <v>115</v>
      </c>
      <c r="C158" s="518" t="s">
        <v>842</v>
      </c>
      <c r="D158" s="520" t="s">
        <v>858</v>
      </c>
      <c r="E158" s="521" t="s">
        <v>46</v>
      </c>
      <c r="F158" s="530">
        <v>1</v>
      </c>
      <c r="G158" s="102">
        <v>30.74</v>
      </c>
      <c r="H158" s="102">
        <v>132.9</v>
      </c>
      <c r="I158" s="102">
        <f t="shared" si="14"/>
        <v>163.63999999999999</v>
      </c>
      <c r="J158" s="102">
        <f t="shared" si="15"/>
        <v>30.74</v>
      </c>
      <c r="K158" s="102">
        <f t="shared" si="16"/>
        <v>132.9</v>
      </c>
      <c r="L158" s="102">
        <f t="shared" si="17"/>
        <v>163.63999999999999</v>
      </c>
      <c r="M158" s="410">
        <v>0.25</v>
      </c>
      <c r="N158" s="408">
        <f t="shared" si="18"/>
        <v>204.55</v>
      </c>
      <c r="O158" s="579">
        <f t="shared" si="19"/>
        <v>1.5533842501630452E-4</v>
      </c>
      <c r="P158" s="171">
        <f t="shared" si="20"/>
        <v>0.99601510425638484</v>
      </c>
      <c r="Q158" s="104"/>
      <c r="R158" s="124"/>
      <c r="S158" s="358"/>
    </row>
    <row r="159" spans="1:19" s="28" customFormat="1" x14ac:dyDescent="0.25">
      <c r="A159" s="524">
        <v>150</v>
      </c>
      <c r="B159" s="518" t="s">
        <v>94</v>
      </c>
      <c r="C159" s="519">
        <v>89362</v>
      </c>
      <c r="D159" s="559" t="s">
        <v>644</v>
      </c>
      <c r="E159" s="521" t="s">
        <v>46</v>
      </c>
      <c r="F159" s="530">
        <v>21</v>
      </c>
      <c r="G159" s="102">
        <v>4.25</v>
      </c>
      <c r="H159" s="102">
        <v>3.33</v>
      </c>
      <c r="I159" s="102">
        <f t="shared" si="14"/>
        <v>7.58</v>
      </c>
      <c r="J159" s="102">
        <f t="shared" si="15"/>
        <v>89.25</v>
      </c>
      <c r="K159" s="102">
        <f t="shared" si="16"/>
        <v>69.930000000000007</v>
      </c>
      <c r="L159" s="102">
        <f t="shared" si="17"/>
        <v>159.18</v>
      </c>
      <c r="M159" s="410">
        <v>0.25</v>
      </c>
      <c r="N159" s="408">
        <f t="shared" si="18"/>
        <v>198.98</v>
      </c>
      <c r="O159" s="579">
        <f t="shared" si="19"/>
        <v>1.5110848110361412E-4</v>
      </c>
      <c r="P159" s="171">
        <f t="shared" si="20"/>
        <v>0.99616621273748851</v>
      </c>
      <c r="Q159" s="104"/>
      <c r="R159" s="125"/>
      <c r="S159" s="358"/>
    </row>
    <row r="160" spans="1:19" s="28" customFormat="1" ht="30" x14ac:dyDescent="0.25">
      <c r="A160" s="524">
        <v>151</v>
      </c>
      <c r="B160" s="519" t="s">
        <v>94</v>
      </c>
      <c r="C160" s="519">
        <v>93669</v>
      </c>
      <c r="D160" s="559" t="s">
        <v>760</v>
      </c>
      <c r="E160" s="525" t="s">
        <v>46</v>
      </c>
      <c r="F160" s="530">
        <v>2</v>
      </c>
      <c r="G160" s="102">
        <v>6.17</v>
      </c>
      <c r="H160" s="102">
        <v>71.42</v>
      </c>
      <c r="I160" s="102">
        <f t="shared" si="14"/>
        <v>77.59</v>
      </c>
      <c r="J160" s="102">
        <f t="shared" si="15"/>
        <v>12.34</v>
      </c>
      <c r="K160" s="102">
        <f t="shared" si="16"/>
        <v>142.84</v>
      </c>
      <c r="L160" s="102">
        <f t="shared" si="17"/>
        <v>155.18</v>
      </c>
      <c r="M160" s="410">
        <v>0.25</v>
      </c>
      <c r="N160" s="408">
        <f t="shared" si="18"/>
        <v>193.98</v>
      </c>
      <c r="O160" s="579">
        <f t="shared" si="19"/>
        <v>1.4731140398270714E-4</v>
      </c>
      <c r="P160" s="171">
        <f t="shared" si="20"/>
        <v>0.99631352414147123</v>
      </c>
      <c r="Q160" s="104"/>
      <c r="R160" s="125"/>
      <c r="S160" s="358"/>
    </row>
    <row r="161" spans="1:19" s="28" customFormat="1" ht="30" x14ac:dyDescent="0.25">
      <c r="A161" s="524">
        <v>152</v>
      </c>
      <c r="B161" s="518" t="s">
        <v>115</v>
      </c>
      <c r="C161" s="518" t="s">
        <v>841</v>
      </c>
      <c r="D161" s="520" t="s">
        <v>851</v>
      </c>
      <c r="E161" s="521" t="s">
        <v>46</v>
      </c>
      <c r="F161" s="530">
        <v>1</v>
      </c>
      <c r="G161" s="102">
        <v>35.130000000000003</v>
      </c>
      <c r="H161" s="102">
        <v>120</v>
      </c>
      <c r="I161" s="102">
        <f t="shared" si="14"/>
        <v>155.13</v>
      </c>
      <c r="J161" s="102">
        <f t="shared" si="15"/>
        <v>35.130000000000003</v>
      </c>
      <c r="K161" s="102">
        <f t="shared" si="16"/>
        <v>120</v>
      </c>
      <c r="L161" s="102">
        <f t="shared" si="17"/>
        <v>155.13</v>
      </c>
      <c r="M161" s="410">
        <v>0.25</v>
      </c>
      <c r="N161" s="408">
        <f t="shared" si="18"/>
        <v>193.91</v>
      </c>
      <c r="O161" s="579">
        <f t="shared" si="19"/>
        <v>1.4725824490301445E-4</v>
      </c>
      <c r="P161" s="171">
        <f t="shared" si="20"/>
        <v>0.99646078238637426</v>
      </c>
      <c r="Q161" s="104"/>
      <c r="R161" s="125"/>
      <c r="S161" s="358"/>
    </row>
    <row r="162" spans="1:19" s="28" customFormat="1" x14ac:dyDescent="0.25">
      <c r="A162" s="524">
        <v>153</v>
      </c>
      <c r="B162" s="519" t="s">
        <v>115</v>
      </c>
      <c r="C162" s="519">
        <f>A162</f>
        <v>153</v>
      </c>
      <c r="D162" s="520" t="s">
        <v>143</v>
      </c>
      <c r="E162" s="525" t="s">
        <v>72</v>
      </c>
      <c r="F162" s="530">
        <v>3</v>
      </c>
      <c r="G162" s="102">
        <v>0</v>
      </c>
      <c r="H162" s="102">
        <v>50</v>
      </c>
      <c r="I162" s="102">
        <f t="shared" si="14"/>
        <v>50</v>
      </c>
      <c r="J162" s="102">
        <f t="shared" si="15"/>
        <v>0</v>
      </c>
      <c r="K162" s="102">
        <f t="shared" si="16"/>
        <v>150</v>
      </c>
      <c r="L162" s="102">
        <f t="shared" si="17"/>
        <v>150</v>
      </c>
      <c r="M162" s="410">
        <f>$F$6</f>
        <v>0.25</v>
      </c>
      <c r="N162" s="408">
        <f t="shared" si="18"/>
        <v>187.5</v>
      </c>
      <c r="O162" s="579">
        <f t="shared" si="19"/>
        <v>1.423903920340117E-4</v>
      </c>
      <c r="P162" s="171">
        <f t="shared" si="20"/>
        <v>0.99660317277840826</v>
      </c>
      <c r="Q162" s="104"/>
      <c r="R162" s="125"/>
      <c r="S162" s="358"/>
    </row>
    <row r="163" spans="1:19" s="28" customFormat="1" x14ac:dyDescent="0.25">
      <c r="A163" s="524">
        <v>154</v>
      </c>
      <c r="B163" s="518" t="s">
        <v>115</v>
      </c>
      <c r="C163" s="522" t="s">
        <v>650</v>
      </c>
      <c r="D163" s="559" t="s">
        <v>820</v>
      </c>
      <c r="E163" s="521" t="s">
        <v>46</v>
      </c>
      <c r="F163" s="530">
        <v>1</v>
      </c>
      <c r="G163" s="102">
        <v>17.989999999999998</v>
      </c>
      <c r="H163" s="102">
        <v>127.41</v>
      </c>
      <c r="I163" s="102">
        <f t="shared" si="14"/>
        <v>145.4</v>
      </c>
      <c r="J163" s="102">
        <f t="shared" si="15"/>
        <v>17.989999999999998</v>
      </c>
      <c r="K163" s="102">
        <f t="shared" si="16"/>
        <v>127.41</v>
      </c>
      <c r="L163" s="102">
        <f t="shared" si="17"/>
        <v>145.4</v>
      </c>
      <c r="M163" s="410">
        <v>0.25</v>
      </c>
      <c r="N163" s="408">
        <f t="shared" si="18"/>
        <v>181.75</v>
      </c>
      <c r="O163" s="579">
        <f t="shared" si="19"/>
        <v>1.3802375334496869E-4</v>
      </c>
      <c r="P163" s="171">
        <f t="shared" si="20"/>
        <v>0.99674119653175319</v>
      </c>
      <c r="Q163" s="104"/>
      <c r="R163" s="125"/>
      <c r="S163" s="358"/>
    </row>
    <row r="164" spans="1:19" s="28" customFormat="1" ht="30" x14ac:dyDescent="0.25">
      <c r="A164" s="524">
        <v>155</v>
      </c>
      <c r="B164" s="518" t="s">
        <v>94</v>
      </c>
      <c r="C164" s="519">
        <v>89396</v>
      </c>
      <c r="D164" s="559" t="s">
        <v>645</v>
      </c>
      <c r="E164" s="521" t="s">
        <v>46</v>
      </c>
      <c r="F164" s="530">
        <v>7</v>
      </c>
      <c r="G164" s="102">
        <v>5.63</v>
      </c>
      <c r="H164" s="102">
        <v>15.08</v>
      </c>
      <c r="I164" s="102">
        <f t="shared" si="14"/>
        <v>20.71</v>
      </c>
      <c r="J164" s="102">
        <f t="shared" si="15"/>
        <v>39.409999999999997</v>
      </c>
      <c r="K164" s="102">
        <f t="shared" si="16"/>
        <v>105.56</v>
      </c>
      <c r="L164" s="102">
        <f t="shared" si="17"/>
        <v>144.97</v>
      </c>
      <c r="M164" s="410">
        <v>0.25</v>
      </c>
      <c r="N164" s="408">
        <f t="shared" si="18"/>
        <v>181.21</v>
      </c>
      <c r="O164" s="579">
        <f t="shared" si="19"/>
        <v>1.3761366901591073E-4</v>
      </c>
      <c r="P164" s="171">
        <f t="shared" si="20"/>
        <v>0.99687881020076907</v>
      </c>
      <c r="Q164" s="104"/>
      <c r="R164" s="125"/>
      <c r="S164" s="358"/>
    </row>
    <row r="165" spans="1:19" s="28" customFormat="1" ht="30" x14ac:dyDescent="0.25">
      <c r="A165" s="524">
        <v>156</v>
      </c>
      <c r="B165" s="518" t="s">
        <v>115</v>
      </c>
      <c r="C165" s="518" t="s">
        <v>827</v>
      </c>
      <c r="D165" s="520" t="s">
        <v>857</v>
      </c>
      <c r="E165" s="521" t="s">
        <v>46</v>
      </c>
      <c r="F165" s="530">
        <v>2</v>
      </c>
      <c r="G165" s="102">
        <v>5.97</v>
      </c>
      <c r="H165" s="102">
        <v>66.150000000000006</v>
      </c>
      <c r="I165" s="102">
        <f t="shared" si="14"/>
        <v>72.12</v>
      </c>
      <c r="J165" s="102">
        <f t="shared" si="15"/>
        <v>11.94</v>
      </c>
      <c r="K165" s="102">
        <f t="shared" si="16"/>
        <v>132.30000000000001</v>
      </c>
      <c r="L165" s="102">
        <f t="shared" si="17"/>
        <v>144.24</v>
      </c>
      <c r="M165" s="410">
        <v>0.25</v>
      </c>
      <c r="N165" s="408">
        <f t="shared" si="18"/>
        <v>180.3</v>
      </c>
      <c r="O165" s="579">
        <f t="shared" si="19"/>
        <v>1.3692260097990567E-4</v>
      </c>
      <c r="P165" s="171">
        <f t="shared" si="20"/>
        <v>0.99701573280174893</v>
      </c>
      <c r="Q165" s="104"/>
      <c r="R165" s="125"/>
      <c r="S165" s="358"/>
    </row>
    <row r="166" spans="1:19" s="28" customFormat="1" x14ac:dyDescent="0.25">
      <c r="A166" s="524">
        <v>157</v>
      </c>
      <c r="B166" s="518" t="s">
        <v>94</v>
      </c>
      <c r="C166" s="519">
        <v>89451</v>
      </c>
      <c r="D166" s="559" t="s">
        <v>715</v>
      </c>
      <c r="E166" s="521" t="s">
        <v>58</v>
      </c>
      <c r="F166" s="530">
        <v>2.4</v>
      </c>
      <c r="G166" s="102">
        <v>1.1599999999999999</v>
      </c>
      <c r="H166" s="102">
        <v>55.5</v>
      </c>
      <c r="I166" s="102">
        <f t="shared" si="14"/>
        <v>56.66</v>
      </c>
      <c r="J166" s="102">
        <f t="shared" si="15"/>
        <v>2.78</v>
      </c>
      <c r="K166" s="102">
        <f t="shared" si="16"/>
        <v>133.19999999999999</v>
      </c>
      <c r="L166" s="102">
        <f t="shared" si="17"/>
        <v>135.97999999999999</v>
      </c>
      <c r="M166" s="410">
        <v>0.25</v>
      </c>
      <c r="N166" s="408">
        <f t="shared" si="18"/>
        <v>169.98</v>
      </c>
      <c r="O166" s="579">
        <f t="shared" si="19"/>
        <v>1.2908543380235363E-4</v>
      </c>
      <c r="P166" s="171">
        <f t="shared" si="20"/>
        <v>0.99714481823555123</v>
      </c>
      <c r="Q166" s="104"/>
      <c r="R166" s="125"/>
      <c r="S166" s="358"/>
    </row>
    <row r="167" spans="1:19" s="28" customFormat="1" ht="30" x14ac:dyDescent="0.25">
      <c r="A167" s="524">
        <v>158</v>
      </c>
      <c r="B167" s="518" t="s">
        <v>94</v>
      </c>
      <c r="C167" s="519">
        <v>97644</v>
      </c>
      <c r="D167" s="520" t="s">
        <v>396</v>
      </c>
      <c r="E167" s="521" t="s">
        <v>61</v>
      </c>
      <c r="F167" s="530">
        <v>18.48</v>
      </c>
      <c r="G167" s="102">
        <v>5.52</v>
      </c>
      <c r="H167" s="102">
        <v>1.61</v>
      </c>
      <c r="I167" s="102">
        <f t="shared" si="14"/>
        <v>7.13</v>
      </c>
      <c r="J167" s="102">
        <f t="shared" si="15"/>
        <v>102.01</v>
      </c>
      <c r="K167" s="102">
        <f t="shared" si="16"/>
        <v>29.75</v>
      </c>
      <c r="L167" s="102">
        <f t="shared" si="17"/>
        <v>131.76</v>
      </c>
      <c r="M167" s="410">
        <v>0.25</v>
      </c>
      <c r="N167" s="408">
        <f t="shared" si="18"/>
        <v>164.7</v>
      </c>
      <c r="O167" s="579">
        <f t="shared" si="19"/>
        <v>1.2507572036267589E-4</v>
      </c>
      <c r="P167" s="171">
        <f t="shared" si="20"/>
        <v>0.99726989395591392</v>
      </c>
      <c r="Q167" s="104"/>
      <c r="R167" s="125"/>
      <c r="S167" s="358"/>
    </row>
    <row r="168" spans="1:19" s="28" customFormat="1" ht="45" x14ac:dyDescent="0.25">
      <c r="A168" s="524">
        <v>159</v>
      </c>
      <c r="B168" s="519" t="s">
        <v>94</v>
      </c>
      <c r="C168" s="519">
        <v>87871</v>
      </c>
      <c r="D168" s="520" t="s">
        <v>873</v>
      </c>
      <c r="E168" s="525" t="s">
        <v>61</v>
      </c>
      <c r="F168" s="530">
        <v>12.45</v>
      </c>
      <c r="G168" s="102">
        <v>3.14</v>
      </c>
      <c r="H168" s="102">
        <v>7.39</v>
      </c>
      <c r="I168" s="102">
        <f t="shared" si="14"/>
        <v>10.53</v>
      </c>
      <c r="J168" s="102">
        <f t="shared" si="15"/>
        <v>39.090000000000003</v>
      </c>
      <c r="K168" s="102">
        <f t="shared" si="16"/>
        <v>92.01</v>
      </c>
      <c r="L168" s="102">
        <f t="shared" si="17"/>
        <v>131.1</v>
      </c>
      <c r="M168" s="410">
        <v>0.25</v>
      </c>
      <c r="N168" s="408">
        <f t="shared" si="18"/>
        <v>163.88</v>
      </c>
      <c r="O168" s="579">
        <f t="shared" si="19"/>
        <v>1.2445299971484714E-4</v>
      </c>
      <c r="P168" s="171">
        <f t="shared" si="20"/>
        <v>0.99739434695562879</v>
      </c>
      <c r="Q168" s="104"/>
      <c r="R168" s="125"/>
      <c r="S168" s="358"/>
    </row>
    <row r="169" spans="1:19" s="28" customFormat="1" x14ac:dyDescent="0.25">
      <c r="A169" s="524">
        <v>160</v>
      </c>
      <c r="B169" s="518" t="s">
        <v>115</v>
      </c>
      <c r="C169" s="519" t="s">
        <v>649</v>
      </c>
      <c r="D169" s="559" t="s">
        <v>693</v>
      </c>
      <c r="E169" s="521" t="s">
        <v>46</v>
      </c>
      <c r="F169" s="530">
        <v>2</v>
      </c>
      <c r="G169" s="102">
        <v>10.79</v>
      </c>
      <c r="H169" s="102">
        <v>52.55</v>
      </c>
      <c r="I169" s="102">
        <f t="shared" si="14"/>
        <v>63.34</v>
      </c>
      <c r="J169" s="102">
        <f t="shared" si="15"/>
        <v>21.58</v>
      </c>
      <c r="K169" s="102">
        <f t="shared" si="16"/>
        <v>105.1</v>
      </c>
      <c r="L169" s="102">
        <f t="shared" si="17"/>
        <v>126.68</v>
      </c>
      <c r="M169" s="410">
        <v>0.25</v>
      </c>
      <c r="N169" s="408">
        <f t="shared" si="18"/>
        <v>158.35</v>
      </c>
      <c r="O169" s="579">
        <f t="shared" si="19"/>
        <v>1.2025343241912402E-4</v>
      </c>
      <c r="P169" s="171">
        <f t="shared" si="20"/>
        <v>0.99751460038804796</v>
      </c>
      <c r="Q169" s="104"/>
      <c r="R169" s="125"/>
      <c r="S169" s="358"/>
    </row>
    <row r="170" spans="1:19" s="28" customFormat="1" x14ac:dyDescent="0.25">
      <c r="A170" s="524">
        <v>161</v>
      </c>
      <c r="B170" s="519" t="s">
        <v>115</v>
      </c>
      <c r="C170" s="519" t="s">
        <v>795</v>
      </c>
      <c r="D170" s="559" t="s">
        <v>800</v>
      </c>
      <c r="E170" s="525" t="s">
        <v>46</v>
      </c>
      <c r="F170" s="530">
        <v>7</v>
      </c>
      <c r="G170" s="102">
        <v>17.170000000000002</v>
      </c>
      <c r="H170" s="102">
        <v>0</v>
      </c>
      <c r="I170" s="102">
        <f t="shared" si="14"/>
        <v>17.170000000000002</v>
      </c>
      <c r="J170" s="102">
        <f t="shared" si="15"/>
        <v>120.19</v>
      </c>
      <c r="K170" s="102">
        <f t="shared" si="16"/>
        <v>0</v>
      </c>
      <c r="L170" s="102">
        <f t="shared" si="17"/>
        <v>120.19</v>
      </c>
      <c r="M170" s="410">
        <v>0.25</v>
      </c>
      <c r="N170" s="408">
        <f t="shared" si="18"/>
        <v>150.24</v>
      </c>
      <c r="O170" s="579">
        <f t="shared" si="19"/>
        <v>1.1409457332901291E-4</v>
      </c>
      <c r="P170" s="171">
        <f t="shared" si="20"/>
        <v>0.99762869496137696</v>
      </c>
      <c r="Q170" s="104"/>
      <c r="R170" s="125"/>
      <c r="S170" s="358"/>
    </row>
    <row r="171" spans="1:19" s="28" customFormat="1" x14ac:dyDescent="0.25">
      <c r="A171" s="524">
        <v>162</v>
      </c>
      <c r="B171" s="519" t="s">
        <v>115</v>
      </c>
      <c r="C171" s="519" t="s">
        <v>475</v>
      </c>
      <c r="D171" s="559" t="s">
        <v>904</v>
      </c>
      <c r="E171" s="525" t="s">
        <v>46</v>
      </c>
      <c r="F171" s="530">
        <v>45</v>
      </c>
      <c r="G171" s="102">
        <v>2.58</v>
      </c>
      <c r="H171" s="102">
        <v>0</v>
      </c>
      <c r="I171" s="102">
        <f t="shared" si="14"/>
        <v>2.58</v>
      </c>
      <c r="J171" s="102">
        <f t="shared" si="15"/>
        <v>116.1</v>
      </c>
      <c r="K171" s="102">
        <f t="shared" si="16"/>
        <v>0</v>
      </c>
      <c r="L171" s="102">
        <f t="shared" si="17"/>
        <v>116.1</v>
      </c>
      <c r="M171" s="410">
        <v>0.25</v>
      </c>
      <c r="N171" s="408">
        <f t="shared" si="18"/>
        <v>145.13</v>
      </c>
      <c r="O171" s="579">
        <f t="shared" si="19"/>
        <v>1.1021396051144597E-4</v>
      </c>
      <c r="P171" s="171">
        <f t="shared" si="20"/>
        <v>0.99773890892188843</v>
      </c>
      <c r="Q171" s="104"/>
      <c r="R171" s="125"/>
      <c r="S171" s="358"/>
    </row>
    <row r="172" spans="1:19" s="28" customFormat="1" x14ac:dyDescent="0.25">
      <c r="A172" s="524">
        <v>163</v>
      </c>
      <c r="B172" s="518" t="s">
        <v>94</v>
      </c>
      <c r="C172" s="519">
        <v>89801</v>
      </c>
      <c r="D172" s="559" t="s">
        <v>674</v>
      </c>
      <c r="E172" s="521" t="s">
        <v>46</v>
      </c>
      <c r="F172" s="530">
        <v>16</v>
      </c>
      <c r="G172" s="102">
        <v>1.1100000000000001</v>
      </c>
      <c r="H172" s="102">
        <v>5.84</v>
      </c>
      <c r="I172" s="102">
        <f t="shared" si="14"/>
        <v>6.95</v>
      </c>
      <c r="J172" s="102">
        <f t="shared" si="15"/>
        <v>17.760000000000002</v>
      </c>
      <c r="K172" s="102">
        <f t="shared" si="16"/>
        <v>93.44</v>
      </c>
      <c r="L172" s="102">
        <f t="shared" si="17"/>
        <v>111.2</v>
      </c>
      <c r="M172" s="410">
        <v>0.25</v>
      </c>
      <c r="N172" s="408">
        <f t="shared" si="18"/>
        <v>139</v>
      </c>
      <c r="O172" s="579">
        <f t="shared" si="19"/>
        <v>1.0555874396121401E-4</v>
      </c>
      <c r="P172" s="171">
        <f t="shared" si="20"/>
        <v>0.99784446766584967</v>
      </c>
      <c r="Q172" s="104"/>
      <c r="R172" s="125"/>
      <c r="S172" s="358"/>
    </row>
    <row r="173" spans="1:19" s="28" customFormat="1" ht="30" x14ac:dyDescent="0.25">
      <c r="A173" s="524">
        <v>164</v>
      </c>
      <c r="B173" s="519" t="s">
        <v>94</v>
      </c>
      <c r="C173" s="519">
        <v>95803</v>
      </c>
      <c r="D173" s="559" t="s">
        <v>805</v>
      </c>
      <c r="E173" s="525" t="s">
        <v>46</v>
      </c>
      <c r="F173" s="530">
        <v>2</v>
      </c>
      <c r="G173" s="102">
        <v>18.579999999999998</v>
      </c>
      <c r="H173" s="102">
        <v>34.72</v>
      </c>
      <c r="I173" s="102">
        <f t="shared" si="14"/>
        <v>53.3</v>
      </c>
      <c r="J173" s="102">
        <f t="shared" si="15"/>
        <v>37.159999999999997</v>
      </c>
      <c r="K173" s="102">
        <f t="shared" si="16"/>
        <v>69.44</v>
      </c>
      <c r="L173" s="102">
        <f t="shared" si="17"/>
        <v>106.6</v>
      </c>
      <c r="M173" s="410">
        <v>0.25</v>
      </c>
      <c r="N173" s="408">
        <f t="shared" si="18"/>
        <v>133.25</v>
      </c>
      <c r="O173" s="579">
        <f t="shared" si="19"/>
        <v>1.0119210527217099E-4</v>
      </c>
      <c r="P173" s="171">
        <f t="shared" si="20"/>
        <v>0.99794565977112182</v>
      </c>
      <c r="Q173" s="104"/>
      <c r="R173" s="125"/>
      <c r="S173" s="358"/>
    </row>
    <row r="174" spans="1:19" s="28" customFormat="1" ht="30" x14ac:dyDescent="0.25">
      <c r="A174" s="524">
        <v>165</v>
      </c>
      <c r="B174" s="519" t="s">
        <v>115</v>
      </c>
      <c r="C174" s="519" t="s">
        <v>473</v>
      </c>
      <c r="D174" s="559" t="s">
        <v>455</v>
      </c>
      <c r="E174" s="525" t="s">
        <v>46</v>
      </c>
      <c r="F174" s="530">
        <v>2</v>
      </c>
      <c r="G174" s="102">
        <v>19.73</v>
      </c>
      <c r="H174" s="102">
        <v>29.9</v>
      </c>
      <c r="I174" s="102">
        <f t="shared" si="14"/>
        <v>49.63</v>
      </c>
      <c r="J174" s="102">
        <f t="shared" si="15"/>
        <v>39.46</v>
      </c>
      <c r="K174" s="102">
        <f t="shared" si="16"/>
        <v>59.8</v>
      </c>
      <c r="L174" s="102">
        <f t="shared" si="17"/>
        <v>99.26</v>
      </c>
      <c r="M174" s="410">
        <v>0.25</v>
      </c>
      <c r="N174" s="408">
        <f t="shared" si="18"/>
        <v>124.08</v>
      </c>
      <c r="O174" s="579">
        <f t="shared" si="19"/>
        <v>9.4228265832427583E-5</v>
      </c>
      <c r="P174" s="171">
        <f t="shared" si="20"/>
        <v>0.9980398880369542</v>
      </c>
      <c r="Q174" s="104"/>
      <c r="R174" s="125"/>
      <c r="S174" s="358"/>
    </row>
    <row r="175" spans="1:19" s="28" customFormat="1" x14ac:dyDescent="0.25">
      <c r="A175" s="524">
        <v>166</v>
      </c>
      <c r="B175" s="518" t="s">
        <v>115</v>
      </c>
      <c r="C175" s="522" t="s">
        <v>663</v>
      </c>
      <c r="D175" s="559" t="s">
        <v>824</v>
      </c>
      <c r="E175" s="521" t="s">
        <v>46</v>
      </c>
      <c r="F175" s="530">
        <v>1</v>
      </c>
      <c r="G175" s="102">
        <v>1.56</v>
      </c>
      <c r="H175" s="102">
        <v>97.03</v>
      </c>
      <c r="I175" s="102">
        <f t="shared" si="14"/>
        <v>98.59</v>
      </c>
      <c r="J175" s="102">
        <f t="shared" si="15"/>
        <v>1.56</v>
      </c>
      <c r="K175" s="102">
        <f t="shared" si="16"/>
        <v>97.03</v>
      </c>
      <c r="L175" s="102">
        <f t="shared" si="17"/>
        <v>98.59</v>
      </c>
      <c r="M175" s="410">
        <v>0.25</v>
      </c>
      <c r="N175" s="408">
        <f t="shared" si="18"/>
        <v>123.24</v>
      </c>
      <c r="O175" s="579">
        <f t="shared" si="19"/>
        <v>9.3590356876115211E-5</v>
      </c>
      <c r="P175" s="171">
        <f t="shared" si="20"/>
        <v>0.99813347839383026</v>
      </c>
      <c r="Q175" s="104"/>
      <c r="R175" s="125"/>
      <c r="S175" s="358"/>
    </row>
    <row r="176" spans="1:19" s="28" customFormat="1" ht="30" x14ac:dyDescent="0.25">
      <c r="A176" s="524">
        <v>167</v>
      </c>
      <c r="B176" s="519" t="s">
        <v>115</v>
      </c>
      <c r="C176" s="519" t="s">
        <v>772</v>
      </c>
      <c r="D176" s="559" t="s">
        <v>431</v>
      </c>
      <c r="E176" s="525" t="s">
        <v>46</v>
      </c>
      <c r="F176" s="530">
        <v>1</v>
      </c>
      <c r="G176" s="102">
        <v>19.73</v>
      </c>
      <c r="H176" s="102">
        <v>72.650000000000006</v>
      </c>
      <c r="I176" s="102">
        <f t="shared" si="14"/>
        <v>92.38</v>
      </c>
      <c r="J176" s="102">
        <f t="shared" si="15"/>
        <v>19.73</v>
      </c>
      <c r="K176" s="102">
        <f t="shared" si="16"/>
        <v>72.650000000000006</v>
      </c>
      <c r="L176" s="102">
        <f t="shared" si="17"/>
        <v>92.38</v>
      </c>
      <c r="M176" s="410">
        <v>0.25</v>
      </c>
      <c r="N176" s="408">
        <f t="shared" si="18"/>
        <v>115.48</v>
      </c>
      <c r="O176" s="579">
        <f t="shared" si="19"/>
        <v>8.7697293184467586E-5</v>
      </c>
      <c r="P176" s="171">
        <f t="shared" si="20"/>
        <v>0.99822117568701474</v>
      </c>
      <c r="Q176" s="104"/>
      <c r="R176" s="125"/>
      <c r="S176" s="358"/>
    </row>
    <row r="177" spans="1:19" s="28" customFormat="1" x14ac:dyDescent="0.25">
      <c r="A177" s="524">
        <v>168</v>
      </c>
      <c r="B177" s="518" t="s">
        <v>94</v>
      </c>
      <c r="C177" s="519">
        <v>89732</v>
      </c>
      <c r="D177" s="559" t="s">
        <v>673</v>
      </c>
      <c r="E177" s="521" t="s">
        <v>46</v>
      </c>
      <c r="F177" s="530">
        <v>8</v>
      </c>
      <c r="G177" s="102">
        <v>3.67</v>
      </c>
      <c r="H177" s="102">
        <v>7.27</v>
      </c>
      <c r="I177" s="102">
        <f t="shared" si="14"/>
        <v>10.94</v>
      </c>
      <c r="J177" s="102">
        <f t="shared" si="15"/>
        <v>29.36</v>
      </c>
      <c r="K177" s="102">
        <f t="shared" si="16"/>
        <v>58.16</v>
      </c>
      <c r="L177" s="102">
        <f t="shared" si="17"/>
        <v>87.52</v>
      </c>
      <c r="M177" s="410">
        <v>0.25</v>
      </c>
      <c r="N177" s="408">
        <f t="shared" si="18"/>
        <v>109.4</v>
      </c>
      <c r="O177" s="579">
        <f t="shared" si="19"/>
        <v>8.3080047405444707E-5</v>
      </c>
      <c r="P177" s="171">
        <f t="shared" si="20"/>
        <v>0.99830425573442017</v>
      </c>
      <c r="Q177" s="104"/>
      <c r="R177" s="125"/>
      <c r="S177" s="358"/>
    </row>
    <row r="178" spans="1:19" s="28" customFormat="1" ht="45" x14ac:dyDescent="0.25">
      <c r="A178" s="524">
        <v>169</v>
      </c>
      <c r="B178" s="519" t="s">
        <v>94</v>
      </c>
      <c r="C178" s="519">
        <v>91996</v>
      </c>
      <c r="D178" s="559" t="s">
        <v>443</v>
      </c>
      <c r="E178" s="525" t="s">
        <v>46</v>
      </c>
      <c r="F178" s="530">
        <v>3</v>
      </c>
      <c r="G178" s="102">
        <v>11.86</v>
      </c>
      <c r="H178" s="102">
        <v>14.83</v>
      </c>
      <c r="I178" s="102">
        <f t="shared" si="14"/>
        <v>26.69</v>
      </c>
      <c r="J178" s="102">
        <f t="shared" si="15"/>
        <v>35.58</v>
      </c>
      <c r="K178" s="102">
        <f t="shared" si="16"/>
        <v>44.49</v>
      </c>
      <c r="L178" s="102">
        <f t="shared" si="17"/>
        <v>80.069999999999993</v>
      </c>
      <c r="M178" s="410">
        <v>0.25</v>
      </c>
      <c r="N178" s="408">
        <f t="shared" si="18"/>
        <v>100.09</v>
      </c>
      <c r="O178" s="579">
        <f t="shared" si="19"/>
        <v>7.6009889806315906E-5</v>
      </c>
      <c r="P178" s="171">
        <f t="shared" si="20"/>
        <v>0.99838026562422644</v>
      </c>
      <c r="Q178" s="104"/>
      <c r="R178" s="125"/>
      <c r="S178" s="358"/>
    </row>
    <row r="179" spans="1:19" s="28" customFormat="1" ht="30" x14ac:dyDescent="0.25">
      <c r="A179" s="524">
        <v>170</v>
      </c>
      <c r="B179" s="518" t="s">
        <v>115</v>
      </c>
      <c r="C179" s="522" t="s">
        <v>724</v>
      </c>
      <c r="D179" s="520" t="s">
        <v>881</v>
      </c>
      <c r="E179" s="521" t="s">
        <v>46</v>
      </c>
      <c r="F179" s="530">
        <v>3</v>
      </c>
      <c r="G179" s="102">
        <v>25.67</v>
      </c>
      <c r="H179" s="102">
        <v>0</v>
      </c>
      <c r="I179" s="102">
        <f t="shared" si="14"/>
        <v>25.67</v>
      </c>
      <c r="J179" s="102">
        <f t="shared" si="15"/>
        <v>77.010000000000005</v>
      </c>
      <c r="K179" s="102">
        <f t="shared" si="16"/>
        <v>0</v>
      </c>
      <c r="L179" s="102">
        <f t="shared" si="17"/>
        <v>77.010000000000005</v>
      </c>
      <c r="M179" s="410">
        <v>0.25</v>
      </c>
      <c r="N179" s="408">
        <f t="shared" si="18"/>
        <v>96.26</v>
      </c>
      <c r="O179" s="579">
        <f t="shared" si="19"/>
        <v>7.3101328731701166E-5</v>
      </c>
      <c r="P179" s="171">
        <f t="shared" si="20"/>
        <v>0.99845336695295817</v>
      </c>
      <c r="Q179" s="104"/>
      <c r="R179" s="125"/>
      <c r="S179" s="358"/>
    </row>
    <row r="180" spans="1:19" s="28" customFormat="1" x14ac:dyDescent="0.25">
      <c r="A180" s="524">
        <v>171</v>
      </c>
      <c r="B180" s="519" t="s">
        <v>115</v>
      </c>
      <c r="C180" s="519">
        <f>A180</f>
        <v>171</v>
      </c>
      <c r="D180" s="520" t="s">
        <v>142</v>
      </c>
      <c r="E180" s="525" t="s">
        <v>72</v>
      </c>
      <c r="F180" s="530">
        <v>3</v>
      </c>
      <c r="G180" s="102">
        <v>0</v>
      </c>
      <c r="H180" s="102">
        <v>25</v>
      </c>
      <c r="I180" s="102">
        <f t="shared" si="14"/>
        <v>25</v>
      </c>
      <c r="J180" s="102">
        <f t="shared" si="15"/>
        <v>0</v>
      </c>
      <c r="K180" s="102">
        <f t="shared" si="16"/>
        <v>75</v>
      </c>
      <c r="L180" s="102">
        <f t="shared" si="17"/>
        <v>75</v>
      </c>
      <c r="M180" s="410">
        <f>$F$6</f>
        <v>0.25</v>
      </c>
      <c r="N180" s="408">
        <f t="shared" si="18"/>
        <v>93.75</v>
      </c>
      <c r="O180" s="579">
        <f t="shared" si="19"/>
        <v>7.1195196017005848E-5</v>
      </c>
      <c r="P180" s="171">
        <f t="shared" si="20"/>
        <v>0.99852456214897523</v>
      </c>
      <c r="Q180" s="104"/>
      <c r="R180" s="125"/>
      <c r="S180" s="358"/>
    </row>
    <row r="181" spans="1:19" s="28" customFormat="1" x14ac:dyDescent="0.25">
      <c r="A181" s="524">
        <v>172</v>
      </c>
      <c r="B181" s="518" t="s">
        <v>115</v>
      </c>
      <c r="C181" s="519" t="s">
        <v>651</v>
      </c>
      <c r="D181" s="559" t="s">
        <v>671</v>
      </c>
      <c r="E181" s="521" t="s">
        <v>46</v>
      </c>
      <c r="F181" s="530">
        <v>2</v>
      </c>
      <c r="G181" s="102">
        <v>1.8</v>
      </c>
      <c r="H181" s="102">
        <v>35.47</v>
      </c>
      <c r="I181" s="102">
        <f t="shared" si="14"/>
        <v>37.270000000000003</v>
      </c>
      <c r="J181" s="102">
        <f t="shared" si="15"/>
        <v>3.6</v>
      </c>
      <c r="K181" s="102">
        <f t="shared" si="16"/>
        <v>70.94</v>
      </c>
      <c r="L181" s="102">
        <f t="shared" si="17"/>
        <v>74.540000000000006</v>
      </c>
      <c r="M181" s="410">
        <v>0.25</v>
      </c>
      <c r="N181" s="408">
        <f t="shared" si="18"/>
        <v>93.18</v>
      </c>
      <c r="O181" s="579">
        <f t="shared" si="19"/>
        <v>7.0762329225222467E-5</v>
      </c>
      <c r="P181" s="171">
        <f t="shared" si="20"/>
        <v>0.99859532447820043</v>
      </c>
      <c r="Q181" s="104"/>
      <c r="R181" s="125"/>
      <c r="S181" s="358"/>
    </row>
    <row r="182" spans="1:19" s="28" customFormat="1" ht="30" x14ac:dyDescent="0.25">
      <c r="A182" s="524">
        <v>173</v>
      </c>
      <c r="B182" s="519" t="s">
        <v>94</v>
      </c>
      <c r="C182" s="519">
        <v>93668</v>
      </c>
      <c r="D182" s="559" t="s">
        <v>759</v>
      </c>
      <c r="E182" s="525" t="s">
        <v>46</v>
      </c>
      <c r="F182" s="530">
        <v>1</v>
      </c>
      <c r="G182" s="102">
        <v>4.42</v>
      </c>
      <c r="H182" s="102">
        <v>70.099999999999994</v>
      </c>
      <c r="I182" s="102">
        <f t="shared" si="14"/>
        <v>74.52</v>
      </c>
      <c r="J182" s="102">
        <f t="shared" si="15"/>
        <v>4.42</v>
      </c>
      <c r="K182" s="102">
        <f t="shared" si="16"/>
        <v>70.099999999999994</v>
      </c>
      <c r="L182" s="102">
        <f t="shared" si="17"/>
        <v>74.52</v>
      </c>
      <c r="M182" s="410">
        <v>0.25</v>
      </c>
      <c r="N182" s="408">
        <f t="shared" si="18"/>
        <v>93.15</v>
      </c>
      <c r="O182" s="579">
        <f t="shared" si="19"/>
        <v>7.0739546762497014E-5</v>
      </c>
      <c r="P182" s="171">
        <f t="shared" si="20"/>
        <v>0.99866606402496294</v>
      </c>
      <c r="Q182" s="104"/>
      <c r="R182" s="125"/>
      <c r="S182" s="358"/>
    </row>
    <row r="183" spans="1:19" s="28" customFormat="1" x14ac:dyDescent="0.25">
      <c r="A183" s="524">
        <v>174</v>
      </c>
      <c r="B183" s="518" t="s">
        <v>94</v>
      </c>
      <c r="C183" s="519">
        <v>89403</v>
      </c>
      <c r="D183" s="559" t="s">
        <v>818</v>
      </c>
      <c r="E183" s="521" t="s">
        <v>58</v>
      </c>
      <c r="F183" s="530">
        <v>4.49</v>
      </c>
      <c r="G183" s="102">
        <v>3.77</v>
      </c>
      <c r="H183" s="102">
        <v>12.8</v>
      </c>
      <c r="I183" s="102">
        <f t="shared" si="14"/>
        <v>16.57</v>
      </c>
      <c r="J183" s="102">
        <f t="shared" si="15"/>
        <v>16.93</v>
      </c>
      <c r="K183" s="102">
        <f t="shared" si="16"/>
        <v>57.47</v>
      </c>
      <c r="L183" s="102">
        <f t="shared" si="17"/>
        <v>74.400000000000006</v>
      </c>
      <c r="M183" s="410">
        <v>0.25</v>
      </c>
      <c r="N183" s="408">
        <f t="shared" si="18"/>
        <v>93</v>
      </c>
      <c r="O183" s="579">
        <f t="shared" si="19"/>
        <v>7.0625634448869806E-5</v>
      </c>
      <c r="P183" s="171">
        <f t="shared" si="20"/>
        <v>0.99873668965941176</v>
      </c>
      <c r="Q183" s="104"/>
      <c r="R183" s="125"/>
      <c r="S183" s="358"/>
    </row>
    <row r="184" spans="1:19" s="28" customFormat="1" x14ac:dyDescent="0.25">
      <c r="A184" s="524">
        <v>175</v>
      </c>
      <c r="B184" s="518" t="s">
        <v>94</v>
      </c>
      <c r="C184" s="519">
        <v>89660</v>
      </c>
      <c r="D184" s="559" t="s">
        <v>712</v>
      </c>
      <c r="E184" s="521" t="s">
        <v>46</v>
      </c>
      <c r="F184" s="530">
        <v>10</v>
      </c>
      <c r="G184" s="102">
        <v>2.6</v>
      </c>
      <c r="H184" s="102">
        <v>4.75</v>
      </c>
      <c r="I184" s="102">
        <f t="shared" si="14"/>
        <v>7.35</v>
      </c>
      <c r="J184" s="102">
        <f t="shared" si="15"/>
        <v>26</v>
      </c>
      <c r="K184" s="102">
        <f t="shared" si="16"/>
        <v>47.5</v>
      </c>
      <c r="L184" s="102">
        <f t="shared" si="17"/>
        <v>73.5</v>
      </c>
      <c r="M184" s="410">
        <v>0.25</v>
      </c>
      <c r="N184" s="408">
        <f t="shared" si="18"/>
        <v>91.88</v>
      </c>
      <c r="O184" s="579">
        <f t="shared" si="19"/>
        <v>6.9775089173786643E-5</v>
      </c>
      <c r="P184" s="171">
        <f t="shared" si="20"/>
        <v>0.99880646474858559</v>
      </c>
      <c r="Q184" s="104"/>
      <c r="R184" s="125"/>
      <c r="S184" s="358"/>
    </row>
    <row r="185" spans="1:19" s="28" customFormat="1" x14ac:dyDescent="0.25">
      <c r="A185" s="524">
        <v>176</v>
      </c>
      <c r="B185" s="518" t="s">
        <v>115</v>
      </c>
      <c r="C185" s="519" t="s">
        <v>657</v>
      </c>
      <c r="D185" s="559" t="s">
        <v>676</v>
      </c>
      <c r="E185" s="521" t="s">
        <v>46</v>
      </c>
      <c r="F185" s="530">
        <v>2</v>
      </c>
      <c r="G185" s="102">
        <v>6.65</v>
      </c>
      <c r="H185" s="102">
        <v>27.65</v>
      </c>
      <c r="I185" s="102">
        <f t="shared" si="14"/>
        <v>34.299999999999997</v>
      </c>
      <c r="J185" s="102">
        <f t="shared" si="15"/>
        <v>13.3</v>
      </c>
      <c r="K185" s="102">
        <f t="shared" si="16"/>
        <v>55.3</v>
      </c>
      <c r="L185" s="102">
        <f t="shared" si="17"/>
        <v>68.599999999999994</v>
      </c>
      <c r="M185" s="410">
        <v>0.25</v>
      </c>
      <c r="N185" s="408">
        <f t="shared" si="18"/>
        <v>85.75</v>
      </c>
      <c r="O185" s="579">
        <f t="shared" si="19"/>
        <v>6.5119872623554685E-5</v>
      </c>
      <c r="P185" s="171">
        <f t="shared" si="20"/>
        <v>0.99887158462120917</v>
      </c>
      <c r="Q185" s="104"/>
      <c r="R185" s="125"/>
      <c r="S185" s="358"/>
    </row>
    <row r="186" spans="1:19" s="28" customFormat="1" x14ac:dyDescent="0.25">
      <c r="A186" s="524">
        <v>177</v>
      </c>
      <c r="B186" s="518" t="s">
        <v>94</v>
      </c>
      <c r="C186" s="519">
        <v>89705</v>
      </c>
      <c r="D186" s="559" t="s">
        <v>812</v>
      </c>
      <c r="E186" s="521" t="s">
        <v>46</v>
      </c>
      <c r="F186" s="530">
        <v>3</v>
      </c>
      <c r="G186" s="102">
        <v>6.09</v>
      </c>
      <c r="H186" s="102">
        <v>16.21</v>
      </c>
      <c r="I186" s="102">
        <f t="shared" si="14"/>
        <v>22.3</v>
      </c>
      <c r="J186" s="102">
        <f t="shared" si="15"/>
        <v>18.27</v>
      </c>
      <c r="K186" s="102">
        <f t="shared" si="16"/>
        <v>48.63</v>
      </c>
      <c r="L186" s="102">
        <f t="shared" si="17"/>
        <v>66.900000000000006</v>
      </c>
      <c r="M186" s="410">
        <v>0.25</v>
      </c>
      <c r="N186" s="408">
        <f t="shared" si="18"/>
        <v>83.63</v>
      </c>
      <c r="O186" s="579">
        <f t="shared" si="19"/>
        <v>6.3509911924290128E-5</v>
      </c>
      <c r="P186" s="171">
        <f t="shared" si="20"/>
        <v>0.99893509453313345</v>
      </c>
      <c r="Q186" s="104"/>
      <c r="R186" s="125"/>
      <c r="S186" s="358"/>
    </row>
    <row r="187" spans="1:19" s="28" customFormat="1" x14ac:dyDescent="0.25">
      <c r="A187" s="524">
        <v>178</v>
      </c>
      <c r="B187" s="518" t="s">
        <v>94</v>
      </c>
      <c r="C187" s="519">
        <v>89714</v>
      </c>
      <c r="D187" s="559" t="s">
        <v>682</v>
      </c>
      <c r="E187" s="521" t="s">
        <v>58</v>
      </c>
      <c r="F187" s="530">
        <v>1.17</v>
      </c>
      <c r="G187" s="102">
        <v>20.87</v>
      </c>
      <c r="H187" s="102">
        <v>31.96</v>
      </c>
      <c r="I187" s="102">
        <f t="shared" si="14"/>
        <v>52.83</v>
      </c>
      <c r="J187" s="102">
        <f t="shared" si="15"/>
        <v>24.42</v>
      </c>
      <c r="K187" s="102">
        <f t="shared" si="16"/>
        <v>37.39</v>
      </c>
      <c r="L187" s="102">
        <f t="shared" si="17"/>
        <v>61.81</v>
      </c>
      <c r="M187" s="410">
        <v>0.25</v>
      </c>
      <c r="N187" s="408">
        <f t="shared" si="18"/>
        <v>77.260000000000005</v>
      </c>
      <c r="O187" s="579">
        <f t="shared" si="19"/>
        <v>5.8672435672254644E-5</v>
      </c>
      <c r="P187" s="171">
        <f t="shared" si="20"/>
        <v>0.99899376696880571</v>
      </c>
      <c r="Q187" s="104"/>
      <c r="R187" s="125"/>
      <c r="S187" s="358"/>
    </row>
    <row r="188" spans="1:19" s="28" customFormat="1" x14ac:dyDescent="0.25">
      <c r="A188" s="524">
        <v>179</v>
      </c>
      <c r="B188" s="519" t="s">
        <v>115</v>
      </c>
      <c r="C188" s="519">
        <f>A188</f>
        <v>179</v>
      </c>
      <c r="D188" s="520" t="s">
        <v>76</v>
      </c>
      <c r="E188" s="525" t="s">
        <v>72</v>
      </c>
      <c r="F188" s="530">
        <v>3</v>
      </c>
      <c r="G188" s="102">
        <v>0</v>
      </c>
      <c r="H188" s="102">
        <v>20</v>
      </c>
      <c r="I188" s="102">
        <f t="shared" si="14"/>
        <v>20</v>
      </c>
      <c r="J188" s="102">
        <f t="shared" si="15"/>
        <v>0</v>
      </c>
      <c r="K188" s="102">
        <f t="shared" si="16"/>
        <v>60</v>
      </c>
      <c r="L188" s="102">
        <f t="shared" si="17"/>
        <v>60</v>
      </c>
      <c r="M188" s="410">
        <f>$F$6</f>
        <v>0.25</v>
      </c>
      <c r="N188" s="408">
        <f t="shared" si="18"/>
        <v>75</v>
      </c>
      <c r="O188" s="579">
        <f t="shared" si="19"/>
        <v>5.6956156813604685E-5</v>
      </c>
      <c r="P188" s="171">
        <f t="shared" si="20"/>
        <v>0.99905072312561927</v>
      </c>
      <c r="Q188" s="104"/>
      <c r="R188" s="125"/>
      <c r="S188" s="358"/>
    </row>
    <row r="189" spans="1:19" s="28" customFormat="1" ht="30" x14ac:dyDescent="0.25">
      <c r="A189" s="524">
        <v>180</v>
      </c>
      <c r="B189" s="518" t="s">
        <v>94</v>
      </c>
      <c r="C189" s="519">
        <v>89383</v>
      </c>
      <c r="D189" s="559" t="s">
        <v>630</v>
      </c>
      <c r="E189" s="521" t="s">
        <v>46</v>
      </c>
      <c r="F189" s="530">
        <v>10</v>
      </c>
      <c r="G189" s="102">
        <v>2.83</v>
      </c>
      <c r="H189" s="102">
        <v>3.14</v>
      </c>
      <c r="I189" s="102">
        <f t="shared" si="14"/>
        <v>5.97</v>
      </c>
      <c r="J189" s="102">
        <f t="shared" si="15"/>
        <v>28.3</v>
      </c>
      <c r="K189" s="102">
        <f t="shared" si="16"/>
        <v>31.4</v>
      </c>
      <c r="L189" s="102">
        <f t="shared" si="17"/>
        <v>59.7</v>
      </c>
      <c r="M189" s="410">
        <v>0.25</v>
      </c>
      <c r="N189" s="408">
        <f t="shared" si="18"/>
        <v>74.63</v>
      </c>
      <c r="O189" s="579">
        <f t="shared" si="19"/>
        <v>5.6675173106657564E-5</v>
      </c>
      <c r="P189" s="171">
        <f t="shared" si="20"/>
        <v>0.99910739829872597</v>
      </c>
      <c r="Q189" s="104"/>
      <c r="R189" s="125"/>
      <c r="S189" s="358"/>
    </row>
    <row r="190" spans="1:19" s="28" customFormat="1" ht="30" x14ac:dyDescent="0.25">
      <c r="A190" s="524">
        <v>181</v>
      </c>
      <c r="B190" s="518" t="s">
        <v>115</v>
      </c>
      <c r="C190" s="519" t="s">
        <v>660</v>
      </c>
      <c r="D190" s="559" t="s">
        <v>822</v>
      </c>
      <c r="E190" s="521" t="s">
        <v>46</v>
      </c>
      <c r="F190" s="530">
        <v>1</v>
      </c>
      <c r="G190" s="102">
        <v>5.4</v>
      </c>
      <c r="H190" s="102">
        <v>52.25</v>
      </c>
      <c r="I190" s="102">
        <f t="shared" si="14"/>
        <v>57.65</v>
      </c>
      <c r="J190" s="102">
        <f t="shared" si="15"/>
        <v>5.4</v>
      </c>
      <c r="K190" s="102">
        <f t="shared" si="16"/>
        <v>52.25</v>
      </c>
      <c r="L190" s="102">
        <f t="shared" si="17"/>
        <v>57.65</v>
      </c>
      <c r="M190" s="410">
        <v>0.25</v>
      </c>
      <c r="N190" s="408">
        <f t="shared" si="18"/>
        <v>72.06</v>
      </c>
      <c r="O190" s="579">
        <f t="shared" si="19"/>
        <v>5.4723475466511382E-5</v>
      </c>
      <c r="P190" s="171">
        <f t="shared" si="20"/>
        <v>0.9991621217741925</v>
      </c>
      <c r="Q190" s="104"/>
      <c r="R190" s="125"/>
      <c r="S190" s="358"/>
    </row>
    <row r="191" spans="1:19" s="28" customFormat="1" x14ac:dyDescent="0.25">
      <c r="A191" s="524">
        <v>182</v>
      </c>
      <c r="B191" s="518" t="s">
        <v>94</v>
      </c>
      <c r="C191" s="519">
        <v>89400</v>
      </c>
      <c r="D191" s="559" t="s">
        <v>813</v>
      </c>
      <c r="E191" s="521" t="s">
        <v>46</v>
      </c>
      <c r="F191" s="530">
        <v>3</v>
      </c>
      <c r="G191" s="102">
        <v>6.71</v>
      </c>
      <c r="H191" s="102">
        <v>12.48</v>
      </c>
      <c r="I191" s="102">
        <f t="shared" si="14"/>
        <v>19.190000000000001</v>
      </c>
      <c r="J191" s="102">
        <f t="shared" si="15"/>
        <v>20.13</v>
      </c>
      <c r="K191" s="102">
        <f t="shared" si="16"/>
        <v>37.44</v>
      </c>
      <c r="L191" s="102">
        <f t="shared" si="17"/>
        <v>57.57</v>
      </c>
      <c r="M191" s="410">
        <v>0.25</v>
      </c>
      <c r="N191" s="408">
        <f t="shared" si="18"/>
        <v>71.959999999999994</v>
      </c>
      <c r="O191" s="579">
        <f t="shared" si="19"/>
        <v>5.4647533924093238E-5</v>
      </c>
      <c r="P191" s="171">
        <f t="shared" si="20"/>
        <v>0.99921676930811665</v>
      </c>
      <c r="Q191" s="104"/>
      <c r="R191" s="125"/>
      <c r="S191" s="358"/>
    </row>
    <row r="192" spans="1:19" s="28" customFormat="1" x14ac:dyDescent="0.25">
      <c r="A192" s="524">
        <v>183</v>
      </c>
      <c r="B192" s="518" t="s">
        <v>115</v>
      </c>
      <c r="C192" s="519" t="s">
        <v>666</v>
      </c>
      <c r="D192" s="559" t="s">
        <v>681</v>
      </c>
      <c r="E192" s="521" t="s">
        <v>46</v>
      </c>
      <c r="F192" s="530">
        <v>2</v>
      </c>
      <c r="G192" s="102">
        <v>6.12</v>
      </c>
      <c r="H192" s="102">
        <v>22.62</v>
      </c>
      <c r="I192" s="102">
        <f t="shared" si="14"/>
        <v>28.74</v>
      </c>
      <c r="J192" s="102">
        <f t="shared" si="15"/>
        <v>12.24</v>
      </c>
      <c r="K192" s="102">
        <f t="shared" si="16"/>
        <v>45.24</v>
      </c>
      <c r="L192" s="102">
        <f t="shared" si="17"/>
        <v>57.48</v>
      </c>
      <c r="M192" s="410">
        <v>0.25</v>
      </c>
      <c r="N192" s="408">
        <f t="shared" si="18"/>
        <v>71.849999999999994</v>
      </c>
      <c r="O192" s="579">
        <f t="shared" si="19"/>
        <v>5.4563998227433282E-5</v>
      </c>
      <c r="P192" s="171">
        <f t="shared" si="20"/>
        <v>0.9992713333063441</v>
      </c>
      <c r="Q192" s="104"/>
      <c r="R192" s="125"/>
      <c r="S192" s="358"/>
    </row>
    <row r="193" spans="1:19" s="72" customFormat="1" x14ac:dyDescent="0.25">
      <c r="A193" s="524">
        <v>184</v>
      </c>
      <c r="B193" s="519" t="s">
        <v>94</v>
      </c>
      <c r="C193" s="519">
        <v>91996</v>
      </c>
      <c r="D193" s="559" t="s">
        <v>426</v>
      </c>
      <c r="E193" s="525" t="s">
        <v>46</v>
      </c>
      <c r="F193" s="530">
        <v>2</v>
      </c>
      <c r="G193" s="102">
        <v>11.86</v>
      </c>
      <c r="H193" s="102">
        <v>14.83</v>
      </c>
      <c r="I193" s="102">
        <f t="shared" si="14"/>
        <v>26.69</v>
      </c>
      <c r="J193" s="102">
        <f t="shared" si="15"/>
        <v>23.72</v>
      </c>
      <c r="K193" s="102">
        <f t="shared" si="16"/>
        <v>29.66</v>
      </c>
      <c r="L193" s="102">
        <f t="shared" si="17"/>
        <v>53.38</v>
      </c>
      <c r="M193" s="410">
        <v>0.25</v>
      </c>
      <c r="N193" s="408">
        <f t="shared" si="18"/>
        <v>66.73</v>
      </c>
      <c r="O193" s="579">
        <f t="shared" si="19"/>
        <v>5.0675791255624544E-5</v>
      </c>
      <c r="P193" s="171">
        <f t="shared" si="20"/>
        <v>0.99932200909759972</v>
      </c>
      <c r="Q193" s="104"/>
      <c r="R193" s="120"/>
      <c r="S193" s="358"/>
    </row>
    <row r="194" spans="1:19" s="72" customFormat="1" ht="30" x14ac:dyDescent="0.25">
      <c r="A194" s="524">
        <v>185</v>
      </c>
      <c r="B194" s="519" t="s">
        <v>94</v>
      </c>
      <c r="C194" s="519">
        <v>93656</v>
      </c>
      <c r="D194" s="559" t="s">
        <v>754</v>
      </c>
      <c r="E194" s="525" t="s">
        <v>46</v>
      </c>
      <c r="F194" s="530">
        <v>4</v>
      </c>
      <c r="G194" s="102">
        <v>2.0499999999999998</v>
      </c>
      <c r="H194" s="102">
        <v>11.17</v>
      </c>
      <c r="I194" s="102">
        <f t="shared" si="14"/>
        <v>13.22</v>
      </c>
      <c r="J194" s="102">
        <f t="shared" si="15"/>
        <v>8.1999999999999993</v>
      </c>
      <c r="K194" s="102">
        <f t="shared" si="16"/>
        <v>44.68</v>
      </c>
      <c r="L194" s="102">
        <f t="shared" si="17"/>
        <v>52.88</v>
      </c>
      <c r="M194" s="410">
        <v>0.25</v>
      </c>
      <c r="N194" s="408">
        <f t="shared" si="18"/>
        <v>66.099999999999994</v>
      </c>
      <c r="O194" s="579">
        <f t="shared" si="19"/>
        <v>5.0197359538390258E-5</v>
      </c>
      <c r="P194" s="171">
        <f t="shared" si="20"/>
        <v>0.99937220645713809</v>
      </c>
      <c r="Q194" s="104"/>
      <c r="R194" s="120"/>
      <c r="S194" s="358"/>
    </row>
    <row r="195" spans="1:19" s="72" customFormat="1" x14ac:dyDescent="0.25">
      <c r="A195" s="524">
        <v>186</v>
      </c>
      <c r="B195" s="518" t="s">
        <v>115</v>
      </c>
      <c r="C195" s="519" t="s">
        <v>658</v>
      </c>
      <c r="D195" s="559" t="s">
        <v>677</v>
      </c>
      <c r="E195" s="521" t="s">
        <v>46</v>
      </c>
      <c r="F195" s="530">
        <v>2</v>
      </c>
      <c r="G195" s="102">
        <v>2.88</v>
      </c>
      <c r="H195" s="102">
        <v>22.1</v>
      </c>
      <c r="I195" s="102">
        <f t="shared" si="14"/>
        <v>24.98</v>
      </c>
      <c r="J195" s="102">
        <f t="shared" si="15"/>
        <v>5.76</v>
      </c>
      <c r="K195" s="102">
        <f t="shared" si="16"/>
        <v>44.2</v>
      </c>
      <c r="L195" s="102">
        <f t="shared" si="17"/>
        <v>49.96</v>
      </c>
      <c r="M195" s="410">
        <v>0.25</v>
      </c>
      <c r="N195" s="408">
        <f t="shared" si="18"/>
        <v>62.45</v>
      </c>
      <c r="O195" s="579">
        <f t="shared" si="19"/>
        <v>4.7425493240128172E-5</v>
      </c>
      <c r="P195" s="171">
        <f t="shared" si="20"/>
        <v>0.9994196319503782</v>
      </c>
      <c r="Q195" s="104"/>
      <c r="R195" s="120"/>
      <c r="S195" s="358"/>
    </row>
    <row r="196" spans="1:19" s="72" customFormat="1" x14ac:dyDescent="0.25">
      <c r="A196" s="524">
        <v>187</v>
      </c>
      <c r="B196" s="519" t="s">
        <v>115</v>
      </c>
      <c r="C196" s="519" t="s">
        <v>792</v>
      </c>
      <c r="D196" s="559" t="s">
        <v>797</v>
      </c>
      <c r="E196" s="525" t="s">
        <v>46</v>
      </c>
      <c r="F196" s="530">
        <v>19</v>
      </c>
      <c r="G196" s="102">
        <v>2.58</v>
      </c>
      <c r="H196" s="102">
        <v>0</v>
      </c>
      <c r="I196" s="102">
        <f t="shared" si="14"/>
        <v>2.58</v>
      </c>
      <c r="J196" s="102">
        <f t="shared" si="15"/>
        <v>49.02</v>
      </c>
      <c r="K196" s="102">
        <f t="shared" si="16"/>
        <v>0</v>
      </c>
      <c r="L196" s="102">
        <f t="shared" si="17"/>
        <v>49.02</v>
      </c>
      <c r="M196" s="410">
        <v>0.25</v>
      </c>
      <c r="N196" s="408">
        <f t="shared" si="18"/>
        <v>61.28</v>
      </c>
      <c r="O196" s="579">
        <f t="shared" si="19"/>
        <v>4.6536977193835937E-5</v>
      </c>
      <c r="P196" s="171">
        <f t="shared" si="20"/>
        <v>0.99946616892757201</v>
      </c>
      <c r="Q196" s="104"/>
      <c r="R196" s="120"/>
      <c r="S196" s="358"/>
    </row>
    <row r="197" spans="1:19" s="72" customFormat="1" ht="30" x14ac:dyDescent="0.25">
      <c r="A197" s="524">
        <v>188</v>
      </c>
      <c r="B197" s="518" t="s">
        <v>115</v>
      </c>
      <c r="C197" s="518" t="s">
        <v>830</v>
      </c>
      <c r="D197" s="520" t="s">
        <v>856</v>
      </c>
      <c r="E197" s="521" t="s">
        <v>46</v>
      </c>
      <c r="F197" s="530">
        <v>1</v>
      </c>
      <c r="G197" s="102">
        <v>5.97</v>
      </c>
      <c r="H197" s="102">
        <v>38.68</v>
      </c>
      <c r="I197" s="102">
        <f t="shared" si="14"/>
        <v>44.65</v>
      </c>
      <c r="J197" s="102">
        <f t="shared" si="15"/>
        <v>5.97</v>
      </c>
      <c r="K197" s="102">
        <f t="shared" si="16"/>
        <v>38.68</v>
      </c>
      <c r="L197" s="102">
        <f t="shared" si="17"/>
        <v>44.65</v>
      </c>
      <c r="M197" s="410">
        <v>0.25</v>
      </c>
      <c r="N197" s="408">
        <f t="shared" si="18"/>
        <v>55.81</v>
      </c>
      <c r="O197" s="579">
        <f t="shared" si="19"/>
        <v>4.2382974823563697E-5</v>
      </c>
      <c r="P197" s="171">
        <f t="shared" si="20"/>
        <v>0.99950855190239563</v>
      </c>
      <c r="Q197" s="104"/>
      <c r="R197" s="120"/>
      <c r="S197" s="358"/>
    </row>
    <row r="198" spans="1:19" s="72" customFormat="1" ht="30" x14ac:dyDescent="0.25">
      <c r="A198" s="524">
        <v>189</v>
      </c>
      <c r="B198" s="576" t="s">
        <v>94</v>
      </c>
      <c r="C198" s="576">
        <v>93658</v>
      </c>
      <c r="D198" s="577" t="s">
        <v>755</v>
      </c>
      <c r="E198" s="578" t="s">
        <v>46</v>
      </c>
      <c r="F198" s="555">
        <v>2</v>
      </c>
      <c r="G198" s="556">
        <v>4.2</v>
      </c>
      <c r="H198" s="556">
        <v>16.66</v>
      </c>
      <c r="I198" s="102">
        <f t="shared" si="14"/>
        <v>20.86</v>
      </c>
      <c r="J198" s="102">
        <f t="shared" si="15"/>
        <v>8.4</v>
      </c>
      <c r="K198" s="102">
        <f t="shared" si="16"/>
        <v>33.32</v>
      </c>
      <c r="L198" s="102">
        <f t="shared" si="17"/>
        <v>41.72</v>
      </c>
      <c r="M198" s="410">
        <v>0.25</v>
      </c>
      <c r="N198" s="408">
        <f t="shared" si="18"/>
        <v>52.15</v>
      </c>
      <c r="O198" s="579">
        <f t="shared" si="19"/>
        <v>3.960351437105979E-5</v>
      </c>
      <c r="P198" s="171">
        <f t="shared" si="20"/>
        <v>0.99954815541676667</v>
      </c>
      <c r="Q198" s="104"/>
      <c r="R198" s="120"/>
      <c r="S198" s="358"/>
    </row>
    <row r="199" spans="1:19" s="72" customFormat="1" x14ac:dyDescent="0.25">
      <c r="A199" s="524">
        <v>190</v>
      </c>
      <c r="B199" s="589" t="s">
        <v>94</v>
      </c>
      <c r="C199" s="528">
        <v>89784</v>
      </c>
      <c r="D199" s="590" t="s">
        <v>680</v>
      </c>
      <c r="E199" s="529" t="s">
        <v>46</v>
      </c>
      <c r="F199" s="557">
        <v>2</v>
      </c>
      <c r="G199" s="340">
        <v>4.79</v>
      </c>
      <c r="H199" s="340">
        <v>14.85</v>
      </c>
      <c r="I199" s="102">
        <f t="shared" si="14"/>
        <v>19.64</v>
      </c>
      <c r="J199" s="102">
        <f t="shared" si="15"/>
        <v>9.58</v>
      </c>
      <c r="K199" s="102">
        <f t="shared" si="16"/>
        <v>29.7</v>
      </c>
      <c r="L199" s="102">
        <f t="shared" si="17"/>
        <v>39.28</v>
      </c>
      <c r="M199" s="412">
        <v>0.25</v>
      </c>
      <c r="N199" s="408">
        <f t="shared" si="18"/>
        <v>49.1</v>
      </c>
      <c r="O199" s="579">
        <f t="shared" si="19"/>
        <v>3.7287297327306531E-5</v>
      </c>
      <c r="P199" s="171">
        <f t="shared" si="20"/>
        <v>0.999585442714094</v>
      </c>
      <c r="Q199" s="104"/>
      <c r="R199" s="120"/>
      <c r="S199" s="358"/>
    </row>
    <row r="200" spans="1:19" x14ac:dyDescent="0.25">
      <c r="A200" s="524">
        <v>191</v>
      </c>
      <c r="B200" s="519" t="s">
        <v>94</v>
      </c>
      <c r="C200" s="519">
        <v>91945</v>
      </c>
      <c r="D200" s="559" t="s">
        <v>432</v>
      </c>
      <c r="E200" s="525" t="s">
        <v>46</v>
      </c>
      <c r="F200" s="530">
        <v>4</v>
      </c>
      <c r="G200" s="102">
        <v>3.33</v>
      </c>
      <c r="H200" s="102">
        <v>4.99</v>
      </c>
      <c r="I200" s="102">
        <f t="shared" si="14"/>
        <v>8.32</v>
      </c>
      <c r="J200" s="102">
        <f t="shared" si="15"/>
        <v>13.32</v>
      </c>
      <c r="K200" s="102">
        <f t="shared" si="16"/>
        <v>19.96</v>
      </c>
      <c r="L200" s="102">
        <f t="shared" si="17"/>
        <v>33.28</v>
      </c>
      <c r="M200" s="410">
        <v>0.25</v>
      </c>
      <c r="N200" s="408">
        <f t="shared" si="18"/>
        <v>41.6</v>
      </c>
      <c r="O200" s="579">
        <f t="shared" si="19"/>
        <v>3.1591681645946064E-5</v>
      </c>
      <c r="P200" s="171">
        <f t="shared" si="20"/>
        <v>0.9996170343957399</v>
      </c>
      <c r="Q200" s="60"/>
      <c r="R200" s="50"/>
      <c r="S200" s="358"/>
    </row>
    <row r="201" spans="1:19" x14ac:dyDescent="0.25">
      <c r="A201" s="524">
        <v>192</v>
      </c>
      <c r="B201" s="518" t="s">
        <v>94</v>
      </c>
      <c r="C201" s="519">
        <v>89786</v>
      </c>
      <c r="D201" s="559" t="s">
        <v>825</v>
      </c>
      <c r="E201" s="521" t="s">
        <v>46</v>
      </c>
      <c r="F201" s="530">
        <v>1</v>
      </c>
      <c r="G201" s="102">
        <v>7.04</v>
      </c>
      <c r="H201" s="102">
        <v>26.18</v>
      </c>
      <c r="I201" s="102">
        <f t="shared" si="14"/>
        <v>33.22</v>
      </c>
      <c r="J201" s="102">
        <f t="shared" si="15"/>
        <v>7.04</v>
      </c>
      <c r="K201" s="102">
        <f t="shared" si="16"/>
        <v>26.18</v>
      </c>
      <c r="L201" s="102">
        <f t="shared" si="17"/>
        <v>33.22</v>
      </c>
      <c r="M201" s="410">
        <v>0.25</v>
      </c>
      <c r="N201" s="408">
        <f t="shared" si="18"/>
        <v>41.53</v>
      </c>
      <c r="O201" s="579">
        <f t="shared" si="19"/>
        <v>3.1538522566253367E-5</v>
      </c>
      <c r="P201" s="171">
        <f t="shared" si="20"/>
        <v>0.99964857291830611</v>
      </c>
      <c r="Q201" s="67"/>
      <c r="R201" s="128"/>
      <c r="S201" s="358"/>
    </row>
    <row r="202" spans="1:19" x14ac:dyDescent="0.25">
      <c r="A202" s="524">
        <v>193</v>
      </c>
      <c r="B202" s="518" t="s">
        <v>94</v>
      </c>
      <c r="C202" s="519">
        <v>89395</v>
      </c>
      <c r="D202" s="559" t="s">
        <v>647</v>
      </c>
      <c r="E202" s="521" t="s">
        <v>46</v>
      </c>
      <c r="F202" s="530">
        <v>3</v>
      </c>
      <c r="G202" s="102">
        <v>5.65</v>
      </c>
      <c r="H202" s="102">
        <v>5.07</v>
      </c>
      <c r="I202" s="102">
        <f t="shared" ref="I202:I218" si="21">+ROUND(G202+H202,2)</f>
        <v>10.72</v>
      </c>
      <c r="J202" s="102">
        <f t="shared" ref="J202:J218" si="22">ROUND(G202*F202,2)</f>
        <v>16.95</v>
      </c>
      <c r="K202" s="102">
        <f t="shared" ref="K202:K218" si="23">ROUND(H202*F202,2)</f>
        <v>15.21</v>
      </c>
      <c r="L202" s="102">
        <f t="shared" ref="L202:L218" si="24">ROUND(I202*F202,2)</f>
        <v>32.159999999999997</v>
      </c>
      <c r="M202" s="410">
        <v>0.25</v>
      </c>
      <c r="N202" s="408">
        <f t="shared" ref="N202:N218" si="25">ROUND(L202*(1+M202),2)</f>
        <v>40.200000000000003</v>
      </c>
      <c r="O202" s="579">
        <f t="shared" si="19"/>
        <v>3.052850005209211E-5</v>
      </c>
      <c r="P202" s="171">
        <f t="shared" si="20"/>
        <v>0.99967910141835825</v>
      </c>
      <c r="S202" s="358"/>
    </row>
    <row r="203" spans="1:19" x14ac:dyDescent="0.25">
      <c r="A203" s="524">
        <v>194</v>
      </c>
      <c r="B203" s="518" t="s">
        <v>94</v>
      </c>
      <c r="C203" s="519">
        <v>89711</v>
      </c>
      <c r="D203" s="559" t="s">
        <v>683</v>
      </c>
      <c r="E203" s="521" t="s">
        <v>58</v>
      </c>
      <c r="F203" s="530">
        <v>1.79</v>
      </c>
      <c r="G203" s="102">
        <v>8.4700000000000006</v>
      </c>
      <c r="H203" s="102">
        <v>9.15</v>
      </c>
      <c r="I203" s="102">
        <f t="shared" si="21"/>
        <v>17.62</v>
      </c>
      <c r="J203" s="102">
        <f t="shared" si="22"/>
        <v>15.16</v>
      </c>
      <c r="K203" s="102">
        <f t="shared" si="23"/>
        <v>16.38</v>
      </c>
      <c r="L203" s="102">
        <f t="shared" si="24"/>
        <v>31.54</v>
      </c>
      <c r="M203" s="410">
        <v>0.25</v>
      </c>
      <c r="N203" s="408">
        <f t="shared" si="25"/>
        <v>39.43</v>
      </c>
      <c r="O203" s="579">
        <f t="shared" ref="O203:O218" si="26">N203/$N$219</f>
        <v>2.9943750175472436E-5</v>
      </c>
      <c r="P203" s="171">
        <f t="shared" si="20"/>
        <v>0.99970904516853376</v>
      </c>
      <c r="S203" s="358"/>
    </row>
    <row r="204" spans="1:19" x14ac:dyDescent="0.25">
      <c r="A204" s="524">
        <v>195</v>
      </c>
      <c r="B204" s="518" t="s">
        <v>94</v>
      </c>
      <c r="C204" s="519">
        <v>89557</v>
      </c>
      <c r="D204" s="559" t="s">
        <v>823</v>
      </c>
      <c r="E204" s="521" t="s">
        <v>46</v>
      </c>
      <c r="F204" s="530">
        <v>1</v>
      </c>
      <c r="G204" s="102">
        <v>2.65</v>
      </c>
      <c r="H204" s="102">
        <v>27.67</v>
      </c>
      <c r="I204" s="102">
        <f t="shared" si="21"/>
        <v>30.32</v>
      </c>
      <c r="J204" s="102">
        <f t="shared" si="22"/>
        <v>2.65</v>
      </c>
      <c r="K204" s="102">
        <f t="shared" si="23"/>
        <v>27.67</v>
      </c>
      <c r="L204" s="102">
        <f t="shared" si="24"/>
        <v>30.32</v>
      </c>
      <c r="M204" s="410">
        <v>0.25</v>
      </c>
      <c r="N204" s="408">
        <f t="shared" si="25"/>
        <v>37.9</v>
      </c>
      <c r="O204" s="579">
        <f t="shared" si="26"/>
        <v>2.8781844576474899E-5</v>
      </c>
      <c r="P204" s="171">
        <f t="shared" ref="P204:P218" si="27">P203+O204</f>
        <v>0.9997378270131102</v>
      </c>
      <c r="S204" s="358"/>
    </row>
    <row r="205" spans="1:19" ht="30" x14ac:dyDescent="0.25">
      <c r="A205" s="524">
        <v>196</v>
      </c>
      <c r="B205" s="518" t="s">
        <v>115</v>
      </c>
      <c r="C205" s="519" t="s">
        <v>654</v>
      </c>
      <c r="D205" s="559" t="s">
        <v>675</v>
      </c>
      <c r="E205" s="521" t="s">
        <v>46</v>
      </c>
      <c r="F205" s="530">
        <v>4</v>
      </c>
      <c r="G205" s="102">
        <v>2.7</v>
      </c>
      <c r="H205" s="102">
        <v>4.83</v>
      </c>
      <c r="I205" s="102">
        <f t="shared" si="21"/>
        <v>7.53</v>
      </c>
      <c r="J205" s="102">
        <f t="shared" si="22"/>
        <v>10.8</v>
      </c>
      <c r="K205" s="102">
        <f t="shared" si="23"/>
        <v>19.32</v>
      </c>
      <c r="L205" s="102">
        <f t="shared" si="24"/>
        <v>30.12</v>
      </c>
      <c r="M205" s="410">
        <v>0.25</v>
      </c>
      <c r="N205" s="408">
        <f t="shared" si="25"/>
        <v>37.65</v>
      </c>
      <c r="O205" s="579">
        <f t="shared" si="26"/>
        <v>2.8591990720429551E-5</v>
      </c>
      <c r="P205" s="171">
        <f t="shared" si="27"/>
        <v>0.99976641900383068</v>
      </c>
    </row>
    <row r="206" spans="1:19" x14ac:dyDescent="0.25">
      <c r="A206" s="524">
        <v>197</v>
      </c>
      <c r="B206" s="518" t="s">
        <v>94</v>
      </c>
      <c r="C206" s="519">
        <v>89805</v>
      </c>
      <c r="D206" s="559" t="s">
        <v>821</v>
      </c>
      <c r="E206" s="521" t="s">
        <v>46</v>
      </c>
      <c r="F206" s="530">
        <v>2</v>
      </c>
      <c r="G206" s="102">
        <v>2.2400000000000002</v>
      </c>
      <c r="H206" s="102">
        <v>12.1</v>
      </c>
      <c r="I206" s="102">
        <f t="shared" si="21"/>
        <v>14.34</v>
      </c>
      <c r="J206" s="102">
        <f t="shared" si="22"/>
        <v>4.4800000000000004</v>
      </c>
      <c r="K206" s="102">
        <f t="shared" si="23"/>
        <v>24.2</v>
      </c>
      <c r="L206" s="102">
        <f t="shared" si="24"/>
        <v>28.68</v>
      </c>
      <c r="M206" s="410">
        <v>0.25</v>
      </c>
      <c r="N206" s="408">
        <f t="shared" si="25"/>
        <v>35.85</v>
      </c>
      <c r="O206" s="579">
        <f t="shared" si="26"/>
        <v>2.722504295690304E-5</v>
      </c>
      <c r="P206" s="171">
        <f t="shared" si="27"/>
        <v>0.99979364404678761</v>
      </c>
    </row>
    <row r="207" spans="1:19" ht="30" x14ac:dyDescent="0.25">
      <c r="A207" s="524">
        <v>198</v>
      </c>
      <c r="B207" s="518" t="s">
        <v>115</v>
      </c>
      <c r="C207" s="519" t="s">
        <v>659</v>
      </c>
      <c r="D207" s="559" t="s">
        <v>678</v>
      </c>
      <c r="E207" s="521" t="s">
        <v>46</v>
      </c>
      <c r="F207" s="530">
        <v>2</v>
      </c>
      <c r="G207" s="102">
        <v>2.88</v>
      </c>
      <c r="H207" s="102">
        <v>10.88</v>
      </c>
      <c r="I207" s="102">
        <f t="shared" si="21"/>
        <v>13.76</v>
      </c>
      <c r="J207" s="102">
        <f t="shared" si="22"/>
        <v>5.76</v>
      </c>
      <c r="K207" s="102">
        <f t="shared" si="23"/>
        <v>21.76</v>
      </c>
      <c r="L207" s="102">
        <f t="shared" si="24"/>
        <v>27.52</v>
      </c>
      <c r="M207" s="410">
        <v>0.25</v>
      </c>
      <c r="N207" s="408">
        <f t="shared" si="25"/>
        <v>34.4</v>
      </c>
      <c r="O207" s="579">
        <f t="shared" si="26"/>
        <v>2.6123890591840015E-5</v>
      </c>
      <c r="P207" s="171">
        <f t="shared" si="27"/>
        <v>0.99981976793737948</v>
      </c>
    </row>
    <row r="208" spans="1:19" x14ac:dyDescent="0.25">
      <c r="A208" s="524">
        <v>199</v>
      </c>
      <c r="B208" s="519" t="s">
        <v>94</v>
      </c>
      <c r="C208" s="519">
        <v>87622</v>
      </c>
      <c r="D208" s="520" t="s">
        <v>880</v>
      </c>
      <c r="E208" s="525" t="s">
        <v>61</v>
      </c>
      <c r="F208" s="530">
        <v>0.85000000000000009</v>
      </c>
      <c r="G208" s="102">
        <v>11.03</v>
      </c>
      <c r="H208" s="102">
        <v>20.6</v>
      </c>
      <c r="I208" s="102">
        <f t="shared" si="21"/>
        <v>31.63</v>
      </c>
      <c r="J208" s="102">
        <f t="shared" si="22"/>
        <v>9.3800000000000008</v>
      </c>
      <c r="K208" s="102">
        <f t="shared" si="23"/>
        <v>17.510000000000002</v>
      </c>
      <c r="L208" s="102">
        <f t="shared" si="24"/>
        <v>26.89</v>
      </c>
      <c r="M208" s="410">
        <v>0.25</v>
      </c>
      <c r="N208" s="408">
        <f t="shared" si="25"/>
        <v>33.61</v>
      </c>
      <c r="O208" s="579">
        <f t="shared" si="26"/>
        <v>2.5523952406736711E-5</v>
      </c>
      <c r="P208" s="171">
        <f t="shared" si="27"/>
        <v>0.99984529188978621</v>
      </c>
    </row>
    <row r="209" spans="1:16" ht="30" x14ac:dyDescent="0.25">
      <c r="A209" s="524">
        <v>200</v>
      </c>
      <c r="B209" s="518" t="s">
        <v>115</v>
      </c>
      <c r="C209" s="522" t="s">
        <v>864</v>
      </c>
      <c r="D209" s="520" t="s">
        <v>882</v>
      </c>
      <c r="E209" s="521" t="s">
        <v>46</v>
      </c>
      <c r="F209" s="530">
        <v>1</v>
      </c>
      <c r="G209" s="102">
        <v>25.67</v>
      </c>
      <c r="H209" s="102">
        <v>0</v>
      </c>
      <c r="I209" s="102">
        <f t="shared" si="21"/>
        <v>25.67</v>
      </c>
      <c r="J209" s="102">
        <f t="shared" si="22"/>
        <v>25.67</v>
      </c>
      <c r="K209" s="102">
        <f t="shared" si="23"/>
        <v>0</v>
      </c>
      <c r="L209" s="102">
        <f t="shared" si="24"/>
        <v>25.67</v>
      </c>
      <c r="M209" s="410">
        <v>0.25</v>
      </c>
      <c r="N209" s="408">
        <f t="shared" si="25"/>
        <v>32.090000000000003</v>
      </c>
      <c r="O209" s="579">
        <f t="shared" si="26"/>
        <v>2.4369640961980994E-5</v>
      </c>
      <c r="P209" s="171">
        <f t="shared" si="27"/>
        <v>0.99986966153074819</v>
      </c>
    </row>
    <row r="210" spans="1:16" x14ac:dyDescent="0.25">
      <c r="A210" s="524">
        <v>201</v>
      </c>
      <c r="B210" s="518" t="s">
        <v>94</v>
      </c>
      <c r="C210" s="519">
        <v>89697</v>
      </c>
      <c r="D210" s="559" t="s">
        <v>713</v>
      </c>
      <c r="E210" s="521" t="s">
        <v>46</v>
      </c>
      <c r="F210" s="530">
        <v>2</v>
      </c>
      <c r="G210" s="102">
        <v>5.15</v>
      </c>
      <c r="H210" s="102">
        <v>7.56</v>
      </c>
      <c r="I210" s="102">
        <f t="shared" si="21"/>
        <v>12.71</v>
      </c>
      <c r="J210" s="102">
        <f t="shared" si="22"/>
        <v>10.3</v>
      </c>
      <c r="K210" s="102">
        <f t="shared" si="23"/>
        <v>15.12</v>
      </c>
      <c r="L210" s="102">
        <f t="shared" si="24"/>
        <v>25.42</v>
      </c>
      <c r="M210" s="410">
        <v>0.25</v>
      </c>
      <c r="N210" s="408">
        <f t="shared" si="25"/>
        <v>31.78</v>
      </c>
      <c r="O210" s="579">
        <f t="shared" si="26"/>
        <v>2.4134222180484757E-5</v>
      </c>
      <c r="P210" s="171">
        <f t="shared" si="27"/>
        <v>0.99989379575292869</v>
      </c>
    </row>
    <row r="211" spans="1:16" x14ac:dyDescent="0.25">
      <c r="A211" s="524">
        <v>202</v>
      </c>
      <c r="B211" s="518" t="s">
        <v>94</v>
      </c>
      <c r="C211" s="519">
        <v>89380</v>
      </c>
      <c r="D211" s="559" t="s">
        <v>809</v>
      </c>
      <c r="E211" s="521" t="s">
        <v>46</v>
      </c>
      <c r="F211" s="530">
        <v>2</v>
      </c>
      <c r="G211" s="102">
        <v>2.82</v>
      </c>
      <c r="H211" s="102">
        <v>6.86</v>
      </c>
      <c r="I211" s="102">
        <f t="shared" si="21"/>
        <v>9.68</v>
      </c>
      <c r="J211" s="102">
        <f t="shared" si="22"/>
        <v>5.64</v>
      </c>
      <c r="K211" s="102">
        <f t="shared" si="23"/>
        <v>13.72</v>
      </c>
      <c r="L211" s="102">
        <f t="shared" si="24"/>
        <v>19.36</v>
      </c>
      <c r="M211" s="410">
        <v>0.25</v>
      </c>
      <c r="N211" s="408">
        <f t="shared" si="25"/>
        <v>24.2</v>
      </c>
      <c r="O211" s="579">
        <f t="shared" si="26"/>
        <v>1.8377853265189777E-5</v>
      </c>
      <c r="P211" s="171">
        <f t="shared" si="27"/>
        <v>0.99991217360619389</v>
      </c>
    </row>
    <row r="212" spans="1:16" ht="30" x14ac:dyDescent="0.25">
      <c r="A212" s="524">
        <v>203</v>
      </c>
      <c r="B212" s="519" t="s">
        <v>115</v>
      </c>
      <c r="C212" s="519" t="s">
        <v>457</v>
      </c>
      <c r="D212" s="559" t="s">
        <v>476</v>
      </c>
      <c r="E212" s="525" t="s">
        <v>46</v>
      </c>
      <c r="F212" s="530">
        <v>4</v>
      </c>
      <c r="G212" s="102">
        <v>1.99</v>
      </c>
      <c r="H212" s="102">
        <v>2.82</v>
      </c>
      <c r="I212" s="102">
        <f t="shared" si="21"/>
        <v>4.8099999999999996</v>
      </c>
      <c r="J212" s="102">
        <f t="shared" si="22"/>
        <v>7.96</v>
      </c>
      <c r="K212" s="102">
        <f t="shared" si="23"/>
        <v>11.28</v>
      </c>
      <c r="L212" s="102">
        <f t="shared" si="24"/>
        <v>19.239999999999998</v>
      </c>
      <c r="M212" s="410">
        <v>0.25</v>
      </c>
      <c r="N212" s="408">
        <f t="shared" si="25"/>
        <v>24.05</v>
      </c>
      <c r="O212" s="579">
        <f t="shared" si="26"/>
        <v>1.8263940951562569E-5</v>
      </c>
      <c r="P212" s="171">
        <f t="shared" si="27"/>
        <v>0.9999304375471455</v>
      </c>
    </row>
    <row r="213" spans="1:16" x14ac:dyDescent="0.25">
      <c r="A213" s="524">
        <v>204</v>
      </c>
      <c r="B213" s="519" t="s">
        <v>115</v>
      </c>
      <c r="C213" s="519" t="s">
        <v>782</v>
      </c>
      <c r="D213" s="559" t="s">
        <v>434</v>
      </c>
      <c r="E213" s="525" t="s">
        <v>46</v>
      </c>
      <c r="F213" s="530">
        <v>3</v>
      </c>
      <c r="G213" s="102">
        <v>2.85</v>
      </c>
      <c r="H213" s="102">
        <v>2.17</v>
      </c>
      <c r="I213" s="102">
        <f t="shared" si="21"/>
        <v>5.0199999999999996</v>
      </c>
      <c r="J213" s="102">
        <f t="shared" si="22"/>
        <v>8.5500000000000007</v>
      </c>
      <c r="K213" s="102">
        <f t="shared" si="23"/>
        <v>6.51</v>
      </c>
      <c r="L213" s="102">
        <f t="shared" si="24"/>
        <v>15.06</v>
      </c>
      <c r="M213" s="410">
        <v>0.25</v>
      </c>
      <c r="N213" s="408">
        <f t="shared" si="25"/>
        <v>18.829999999999998</v>
      </c>
      <c r="O213" s="579">
        <f t="shared" si="26"/>
        <v>1.429979243733568E-5</v>
      </c>
      <c r="P213" s="171">
        <f t="shared" si="27"/>
        <v>0.99994473733958289</v>
      </c>
    </row>
    <row r="214" spans="1:16" x14ac:dyDescent="0.25">
      <c r="A214" s="524">
        <v>205</v>
      </c>
      <c r="B214" s="518" t="s">
        <v>94</v>
      </c>
      <c r="C214" s="519">
        <v>89664</v>
      </c>
      <c r="D214" s="559" t="s">
        <v>808</v>
      </c>
      <c r="E214" s="521" t="s">
        <v>46</v>
      </c>
      <c r="F214" s="530">
        <v>1</v>
      </c>
      <c r="G214" s="102">
        <v>2.59</v>
      </c>
      <c r="H214" s="102">
        <v>12.24</v>
      </c>
      <c r="I214" s="102">
        <f t="shared" si="21"/>
        <v>14.83</v>
      </c>
      <c r="J214" s="102">
        <f t="shared" si="22"/>
        <v>2.59</v>
      </c>
      <c r="K214" s="102">
        <f t="shared" si="23"/>
        <v>12.24</v>
      </c>
      <c r="L214" s="102">
        <f t="shared" si="24"/>
        <v>14.83</v>
      </c>
      <c r="M214" s="410">
        <v>0.25</v>
      </c>
      <c r="N214" s="408">
        <f t="shared" si="25"/>
        <v>18.54</v>
      </c>
      <c r="O214" s="579">
        <f t="shared" si="26"/>
        <v>1.4079561964323077E-5</v>
      </c>
      <c r="P214" s="171">
        <f t="shared" si="27"/>
        <v>0.9999588169015472</v>
      </c>
    </row>
    <row r="215" spans="1:16" x14ac:dyDescent="0.25">
      <c r="A215" s="524">
        <v>206</v>
      </c>
      <c r="B215" s="518" t="s">
        <v>115</v>
      </c>
      <c r="C215" s="519" t="s">
        <v>662</v>
      </c>
      <c r="D215" s="559" t="s">
        <v>679</v>
      </c>
      <c r="E215" s="521" t="s">
        <v>46</v>
      </c>
      <c r="F215" s="530">
        <v>1</v>
      </c>
      <c r="G215" s="102">
        <v>2.52</v>
      </c>
      <c r="H215" s="102">
        <v>11.15</v>
      </c>
      <c r="I215" s="102">
        <f t="shared" si="21"/>
        <v>13.67</v>
      </c>
      <c r="J215" s="102">
        <f t="shared" si="22"/>
        <v>2.52</v>
      </c>
      <c r="K215" s="102">
        <f t="shared" si="23"/>
        <v>11.15</v>
      </c>
      <c r="L215" s="102">
        <f t="shared" si="24"/>
        <v>13.67</v>
      </c>
      <c r="M215" s="410">
        <v>0.25</v>
      </c>
      <c r="N215" s="408">
        <f t="shared" si="25"/>
        <v>17.09</v>
      </c>
      <c r="O215" s="579">
        <f t="shared" si="26"/>
        <v>1.2978409599260054E-5</v>
      </c>
      <c r="P215" s="171">
        <f t="shared" si="27"/>
        <v>0.99997179531114644</v>
      </c>
    </row>
    <row r="216" spans="1:16" ht="30" x14ac:dyDescent="0.25">
      <c r="A216" s="524">
        <v>207</v>
      </c>
      <c r="B216" s="518" t="s">
        <v>115</v>
      </c>
      <c r="C216" s="519" t="s">
        <v>652</v>
      </c>
      <c r="D216" s="559" t="s">
        <v>672</v>
      </c>
      <c r="E216" s="521" t="s">
        <v>46</v>
      </c>
      <c r="F216" s="530">
        <v>2</v>
      </c>
      <c r="G216" s="102">
        <v>1.8</v>
      </c>
      <c r="H216" s="102">
        <v>4.83</v>
      </c>
      <c r="I216" s="102">
        <f t="shared" si="21"/>
        <v>6.63</v>
      </c>
      <c r="J216" s="102">
        <f t="shared" si="22"/>
        <v>3.6</v>
      </c>
      <c r="K216" s="102">
        <f t="shared" si="23"/>
        <v>9.66</v>
      </c>
      <c r="L216" s="102">
        <f t="shared" si="24"/>
        <v>13.26</v>
      </c>
      <c r="M216" s="410">
        <v>0.25</v>
      </c>
      <c r="N216" s="408">
        <f t="shared" si="25"/>
        <v>16.579999999999998</v>
      </c>
      <c r="O216" s="579">
        <f t="shared" si="26"/>
        <v>1.2591107732927541E-5</v>
      </c>
      <c r="P216" s="171">
        <f t="shared" si="27"/>
        <v>0.99998438641887932</v>
      </c>
    </row>
    <row r="217" spans="1:16" ht="30" x14ac:dyDescent="0.25">
      <c r="A217" s="524">
        <v>208</v>
      </c>
      <c r="B217" s="518" t="s">
        <v>94</v>
      </c>
      <c r="C217" s="519">
        <v>97663</v>
      </c>
      <c r="D217" s="520" t="s">
        <v>725</v>
      </c>
      <c r="E217" s="521" t="s">
        <v>46</v>
      </c>
      <c r="F217" s="530">
        <v>1</v>
      </c>
      <c r="G217" s="102">
        <v>7.37</v>
      </c>
      <c r="H217" s="102">
        <v>2.0900000000000007</v>
      </c>
      <c r="I217" s="102">
        <f t="shared" si="21"/>
        <v>9.4600000000000009</v>
      </c>
      <c r="J217" s="102">
        <f t="shared" si="22"/>
        <v>7.37</v>
      </c>
      <c r="K217" s="102">
        <f t="shared" si="23"/>
        <v>2.09</v>
      </c>
      <c r="L217" s="102">
        <f t="shared" si="24"/>
        <v>9.4600000000000009</v>
      </c>
      <c r="M217" s="410">
        <v>0.25</v>
      </c>
      <c r="N217" s="408">
        <f t="shared" si="25"/>
        <v>11.83</v>
      </c>
      <c r="O217" s="579">
        <f t="shared" si="26"/>
        <v>8.9838844680659124E-6</v>
      </c>
      <c r="P217" s="171">
        <f t="shared" si="27"/>
        <v>0.99999337030334734</v>
      </c>
    </row>
    <row r="218" spans="1:16" x14ac:dyDescent="0.25">
      <c r="A218" s="524">
        <v>209</v>
      </c>
      <c r="B218" s="518" t="s">
        <v>94</v>
      </c>
      <c r="C218" s="519">
        <v>89759</v>
      </c>
      <c r="D218" s="559" t="s">
        <v>884</v>
      </c>
      <c r="E218" s="521" t="s">
        <v>46</v>
      </c>
      <c r="F218" s="530">
        <v>1</v>
      </c>
      <c r="G218" s="102">
        <v>1.83</v>
      </c>
      <c r="H218" s="102">
        <v>5.15</v>
      </c>
      <c r="I218" s="102">
        <f t="shared" si="21"/>
        <v>6.98</v>
      </c>
      <c r="J218" s="102">
        <f t="shared" si="22"/>
        <v>1.83</v>
      </c>
      <c r="K218" s="102">
        <f t="shared" si="23"/>
        <v>5.15</v>
      </c>
      <c r="L218" s="102">
        <f t="shared" si="24"/>
        <v>6.98</v>
      </c>
      <c r="M218" s="410">
        <v>0.25</v>
      </c>
      <c r="N218" s="408">
        <f t="shared" si="25"/>
        <v>8.73</v>
      </c>
      <c r="O218" s="579">
        <f t="shared" si="26"/>
        <v>6.6296966531035852E-6</v>
      </c>
      <c r="P218" s="171">
        <f t="shared" si="27"/>
        <v>1.0000000000000004</v>
      </c>
    </row>
    <row r="219" spans="1:16" x14ac:dyDescent="0.25">
      <c r="A219" s="591"/>
      <c r="B219" s="592"/>
      <c r="C219" s="592"/>
      <c r="D219" s="593"/>
      <c r="E219" s="593"/>
      <c r="F219" s="594"/>
      <c r="G219" s="593"/>
      <c r="H219" s="593"/>
      <c r="I219" s="593"/>
      <c r="J219" s="593"/>
      <c r="K219" s="593"/>
      <c r="L219" s="593"/>
      <c r="M219" s="593"/>
      <c r="N219" s="595">
        <f>SUM(N10:N218)</f>
        <v>1316802.3299999996</v>
      </c>
      <c r="O219" s="593"/>
      <c r="P219" s="596"/>
    </row>
    <row r="220" spans="1:16" x14ac:dyDescent="0.25">
      <c r="N220" s="50">
        <f>N219-'Dados Gerais'!E17</f>
        <v>796202.27999999956</v>
      </c>
    </row>
  </sheetData>
  <autoFilter ref="A9:P218">
    <sortState ref="A11:P218">
      <sortCondition descending="1" ref="N9:N218"/>
    </sortState>
  </autoFilter>
  <mergeCells count="17">
    <mergeCell ref="R8:R9"/>
    <mergeCell ref="I8:I9"/>
    <mergeCell ref="F8:F9"/>
    <mergeCell ref="G8:H8"/>
    <mergeCell ref="A2:H2"/>
    <mergeCell ref="A7:P7"/>
    <mergeCell ref="P8:P9"/>
    <mergeCell ref="J8:K8"/>
    <mergeCell ref="L8:L9"/>
    <mergeCell ref="M8:M9"/>
    <mergeCell ref="N8:N9"/>
    <mergeCell ref="O8:O9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39370078740157483" bottom="0.59055118110236227" header="0.31496062992125984" footer="0.31496062992125984"/>
  <pageSetup paperSize="9" scale="67" fitToHeight="0" orientation="landscape" r:id="rId1"/>
  <headerFooter>
    <oddFooter>&amp;CPág. &amp;P de &amp;N</oddFooter>
  </headerFooter>
  <rowBreaks count="1" manualBreakCount="1">
    <brk id="17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2060"/>
    <pageSetUpPr fitToPage="1"/>
  </sheetPr>
  <dimension ref="A1:L43"/>
  <sheetViews>
    <sheetView showGridLines="0" tabSelected="1" view="pageBreakPreview" topLeftCell="B1" zoomScale="85" zoomScaleSheetLayoutView="85" workbookViewId="0">
      <selection activeCell="L28" sqref="L28"/>
    </sheetView>
  </sheetViews>
  <sheetFormatPr defaultColWidth="9.140625" defaultRowHeight="16.5" x14ac:dyDescent="0.35"/>
  <cols>
    <col min="1" max="1" width="9.140625" style="1"/>
    <col min="2" max="2" width="9.42578125" style="1" customWidth="1"/>
    <col min="3" max="3" width="53.42578125" style="1" customWidth="1"/>
    <col min="4" max="5" width="17.85546875" style="1" customWidth="1"/>
    <col min="6" max="6" width="11.7109375" style="1" customWidth="1"/>
    <col min="7" max="7" width="13" style="1" customWidth="1"/>
    <col min="8" max="10" width="9.140625" style="1"/>
    <col min="11" max="11" width="16.42578125" style="1" customWidth="1"/>
    <col min="12" max="12" width="14.85546875" style="1" customWidth="1"/>
    <col min="13" max="16384" width="9.140625" style="1"/>
  </cols>
  <sheetData>
    <row r="1" spans="1:12" ht="17.25" x14ac:dyDescent="0.35">
      <c r="A1" s="93"/>
      <c r="B1" s="624"/>
      <c r="C1" s="625"/>
      <c r="D1" s="625"/>
      <c r="E1" s="625"/>
      <c r="F1" s="625"/>
      <c r="G1" s="626"/>
    </row>
    <row r="2" spans="1:12" ht="17.25" x14ac:dyDescent="0.35">
      <c r="A2" s="93"/>
      <c r="B2" s="211" t="s">
        <v>4</v>
      </c>
      <c r="C2" s="16" t="str">
        <f>+PO_IND!D3</f>
        <v>HCPA - CPE - Projeto Laboratórios de Pesquisa</v>
      </c>
      <c r="D2" s="12"/>
      <c r="E2" s="12"/>
      <c r="F2" s="12"/>
      <c r="G2" s="17"/>
    </row>
    <row r="3" spans="1:12" ht="17.25" x14ac:dyDescent="0.35">
      <c r="A3" s="93"/>
      <c r="B3" s="211" t="s">
        <v>99</v>
      </c>
      <c r="C3" s="16" t="str">
        <f>+PO_IND!D4</f>
        <v>CPE - 2º Pavimento</v>
      </c>
      <c r="D3" s="12"/>
      <c r="E3" s="12"/>
      <c r="F3" s="12"/>
      <c r="G3" s="18"/>
    </row>
    <row r="4" spans="1:12" ht="17.25" x14ac:dyDescent="0.35">
      <c r="A4" s="93"/>
      <c r="B4" s="211" t="s">
        <v>67</v>
      </c>
      <c r="C4" s="16" t="str">
        <f>+PO_IND!D5</f>
        <v>Porto Alegre / RS</v>
      </c>
      <c r="D4" s="19"/>
      <c r="E4" s="19"/>
      <c r="F4" s="19"/>
      <c r="G4" s="20"/>
    </row>
    <row r="5" spans="1:12" ht="17.25" x14ac:dyDescent="0.35">
      <c r="A5" s="93"/>
      <c r="B5" s="371"/>
      <c r="C5" s="21"/>
      <c r="D5" s="21"/>
      <c r="E5" s="21"/>
      <c r="F5" s="21"/>
      <c r="G5" s="20"/>
    </row>
    <row r="6" spans="1:12" ht="17.25" x14ac:dyDescent="0.35">
      <c r="A6" s="93"/>
      <c r="B6" s="301" t="s">
        <v>12</v>
      </c>
      <c r="C6" s="302" t="str">
        <f>'Dados Gerais'!E29</f>
        <v>R03</v>
      </c>
      <c r="D6" s="303" t="s">
        <v>11</v>
      </c>
      <c r="E6" s="303" t="s">
        <v>11</v>
      </c>
      <c r="F6" s="636">
        <f>+'Dados Gerais'!E26</f>
        <v>44426</v>
      </c>
      <c r="G6" s="637"/>
    </row>
    <row r="7" spans="1:12" ht="17.25" x14ac:dyDescent="0.35">
      <c r="A7" s="93"/>
      <c r="B7" s="301" t="s">
        <v>13</v>
      </c>
      <c r="C7" s="304">
        <f>'Dados Gerais'!D24</f>
        <v>0.25</v>
      </c>
      <c r="D7" s="303" t="s">
        <v>85</v>
      </c>
      <c r="E7" s="303" t="s">
        <v>85</v>
      </c>
      <c r="F7" s="302">
        <f>'Dados Gerais'!E18</f>
        <v>3</v>
      </c>
      <c r="G7" s="305"/>
    </row>
    <row r="8" spans="1:12" ht="17.25" x14ac:dyDescent="0.35">
      <c r="A8" s="93"/>
      <c r="B8" s="301"/>
      <c r="C8" s="306" t="str">
        <f>'Dados Gerais'!$E$22</f>
        <v>-</v>
      </c>
      <c r="D8" s="303"/>
      <c r="E8" s="303"/>
      <c r="F8" s="638"/>
      <c r="G8" s="639"/>
    </row>
    <row r="9" spans="1:12" ht="17.25" x14ac:dyDescent="0.35">
      <c r="A9" s="93"/>
      <c r="B9" s="627" t="s">
        <v>83</v>
      </c>
      <c r="C9" s="628"/>
      <c r="D9" s="628"/>
      <c r="E9" s="628"/>
      <c r="F9" s="628"/>
      <c r="G9" s="629"/>
    </row>
    <row r="10" spans="1:12" ht="23.25" customHeight="1" x14ac:dyDescent="0.35">
      <c r="A10" s="93"/>
      <c r="B10" s="632"/>
      <c r="C10" s="630" t="s">
        <v>1</v>
      </c>
      <c r="D10" s="630" t="s">
        <v>369</v>
      </c>
      <c r="E10" s="630" t="s">
        <v>370</v>
      </c>
      <c r="F10" s="630" t="s">
        <v>57</v>
      </c>
      <c r="G10" s="634" t="s">
        <v>56</v>
      </c>
    </row>
    <row r="11" spans="1:12" ht="14.25" customHeight="1" x14ac:dyDescent="0.35">
      <c r="A11" s="93"/>
      <c r="B11" s="633"/>
      <c r="C11" s="631"/>
      <c r="D11" s="631">
        <v>15738</v>
      </c>
      <c r="E11" s="631">
        <v>15738</v>
      </c>
      <c r="F11" s="631"/>
      <c r="G11" s="635"/>
    </row>
    <row r="12" spans="1:12" ht="18.75" x14ac:dyDescent="0.35">
      <c r="A12" s="93"/>
      <c r="B12" s="212"/>
      <c r="C12" s="213" t="str">
        <f>PO_IND!D10</f>
        <v>DESPESAS INDIRETAS</v>
      </c>
      <c r="D12" s="57">
        <f>SUM(D13:D14)</f>
        <v>33519.660000000003</v>
      </c>
      <c r="E12" s="57">
        <f>SUM(E13:E14)</f>
        <v>41899.589999999997</v>
      </c>
      <c r="F12" s="381">
        <f>SUM(F13:F14)</f>
        <v>0.99999999999999989</v>
      </c>
      <c r="G12" s="56">
        <f>+D12/$D$33</f>
        <v>8.0483265613773849E-2</v>
      </c>
      <c r="I12" s="75"/>
      <c r="L12" s="55"/>
    </row>
    <row r="13" spans="1:12" x14ac:dyDescent="0.35">
      <c r="A13" s="93"/>
      <c r="B13" s="135"/>
      <c r="C13" s="53" t="str">
        <f>PO_IND!D11</f>
        <v>Administração da obra</v>
      </c>
      <c r="D13" s="54">
        <f>+PO_IND!L11</f>
        <v>7759.8899999999994</v>
      </c>
      <c r="E13" s="54">
        <f>PO_IND!N11</f>
        <v>9699.869999999999</v>
      </c>
      <c r="F13" s="382">
        <f>D13/$D$12</f>
        <v>0.23150264650655761</v>
      </c>
      <c r="G13" s="52">
        <f>D13/$D$33</f>
        <v>1.8632088989078872E-2</v>
      </c>
      <c r="L13" s="55"/>
    </row>
    <row r="14" spans="1:12" x14ac:dyDescent="0.35">
      <c r="A14" s="93"/>
      <c r="B14" s="249"/>
      <c r="C14" s="489" t="str">
        <f>PO_IND!D18</f>
        <v>Construção, instalação e manutenção de canteiro de obras</v>
      </c>
      <c r="D14" s="488">
        <f>+PO_IND!L18</f>
        <v>25759.77</v>
      </c>
      <c r="E14" s="54">
        <f>PO_IND!N18</f>
        <v>32199.719999999998</v>
      </c>
      <c r="F14" s="490">
        <f>D14/$D$12</f>
        <v>0.76849735349344228</v>
      </c>
      <c r="G14" s="491">
        <f>D14/$D$33</f>
        <v>6.185117662469497E-2</v>
      </c>
      <c r="L14" s="55"/>
    </row>
    <row r="15" spans="1:12" ht="18.75" x14ac:dyDescent="0.35">
      <c r="A15" s="93"/>
      <c r="B15" s="492"/>
      <c r="C15" s="493" t="str">
        <f>PO_CPE!D10</f>
        <v>CPE</v>
      </c>
      <c r="D15" s="57">
        <f>SUM(D16:D31)</f>
        <v>382960.20999999996</v>
      </c>
      <c r="E15" s="57">
        <f>SUM(E16:E31)</f>
        <v>478700.46</v>
      </c>
      <c r="F15" s="381">
        <f>D15/$D$15</f>
        <v>1</v>
      </c>
      <c r="G15" s="56">
        <f>+D15/$D$33</f>
        <v>0.91951673438622605</v>
      </c>
      <c r="I15" s="75"/>
      <c r="L15" s="55"/>
    </row>
    <row r="16" spans="1:12" x14ac:dyDescent="0.35">
      <c r="A16" s="93"/>
      <c r="B16" s="135"/>
      <c r="C16" s="53" t="str">
        <f>PO_CPE!D11</f>
        <v>Demolições e Remoções</v>
      </c>
      <c r="D16" s="54">
        <f>PO_CPE!S11</f>
        <v>2395.3599999999997</v>
      </c>
      <c r="E16" s="54">
        <f>PO_CPE!U11</f>
        <v>2994.21</v>
      </c>
      <c r="F16" s="382">
        <f>D16/$D$15</f>
        <v>6.2548534742029724E-3</v>
      </c>
      <c r="G16" s="52">
        <f t="shared" ref="G16:G29" si="0">D16/$D$33</f>
        <v>5.7514424406634578E-3</v>
      </c>
      <c r="H16" s="101"/>
      <c r="L16" s="55"/>
    </row>
    <row r="17" spans="1:12" x14ac:dyDescent="0.35">
      <c r="A17" s="93"/>
      <c r="B17" s="135"/>
      <c r="C17" s="53" t="str">
        <f>PO_CPE!D20</f>
        <v>Infraestrutura</v>
      </c>
      <c r="D17" s="54">
        <f>PO_CPE!S20</f>
        <v>0</v>
      </c>
      <c r="E17" s="54">
        <f>PO_CPE!U20</f>
        <v>0</v>
      </c>
      <c r="F17" s="382">
        <f>D17/$D$15</f>
        <v>0</v>
      </c>
      <c r="G17" s="52">
        <f t="shared" si="0"/>
        <v>0</v>
      </c>
      <c r="H17" s="101"/>
      <c r="L17" s="55"/>
    </row>
    <row r="18" spans="1:12" x14ac:dyDescent="0.35">
      <c r="A18" s="93"/>
      <c r="B18" s="135"/>
      <c r="C18" s="53" t="str">
        <f>PO_CPE!D22</f>
        <v>Supraestrutura</v>
      </c>
      <c r="D18" s="54">
        <f>PO_CPE!S22</f>
        <v>0</v>
      </c>
      <c r="E18" s="54">
        <f>PO_CPE!U22</f>
        <v>0</v>
      </c>
      <c r="F18" s="382">
        <f t="shared" ref="F18:F31" si="1">D18/$D$15</f>
        <v>0</v>
      </c>
      <c r="G18" s="52">
        <f t="shared" si="0"/>
        <v>0</v>
      </c>
      <c r="L18" s="55"/>
    </row>
    <row r="19" spans="1:12" x14ac:dyDescent="0.35">
      <c r="A19" s="93"/>
      <c r="B19" s="135"/>
      <c r="C19" s="53" t="str">
        <f>PO_CPE!D24</f>
        <v>Paredes e Painéis</v>
      </c>
      <c r="D19" s="54">
        <f>PO_CPE!S24</f>
        <v>28959.63</v>
      </c>
      <c r="E19" s="54">
        <f>PO_CPE!U24</f>
        <v>36199.540000000008</v>
      </c>
      <c r="F19" s="382">
        <f t="shared" si="1"/>
        <v>7.56204672020626E-2</v>
      </c>
      <c r="G19" s="52">
        <f t="shared" si="0"/>
        <v>6.9534285054401318E-2</v>
      </c>
      <c r="L19" s="55"/>
    </row>
    <row r="20" spans="1:12" x14ac:dyDescent="0.35">
      <c r="A20" s="93"/>
      <c r="B20" s="135"/>
      <c r="C20" s="53" t="str">
        <f>PO_CPE!D30</f>
        <v>Esquadrias / Serralherias / Vidros</v>
      </c>
      <c r="D20" s="54">
        <f>PO_CPE!S30</f>
        <v>45298.26</v>
      </c>
      <c r="E20" s="54">
        <f>PO_CPE!U30</f>
        <v>56622.840000000011</v>
      </c>
      <c r="F20" s="382">
        <f t="shared" si="1"/>
        <v>0.1182845079388274</v>
      </c>
      <c r="G20" s="52">
        <f t="shared" si="0"/>
        <v>0.1087645844683922</v>
      </c>
      <c r="L20" s="55"/>
    </row>
    <row r="21" spans="1:12" x14ac:dyDescent="0.35">
      <c r="A21" s="93"/>
      <c r="B21" s="135"/>
      <c r="C21" s="53" t="str">
        <f>PO_CPE!D46</f>
        <v>Coberturas e proteções</v>
      </c>
      <c r="D21" s="54">
        <f>PO_CPE!S46</f>
        <v>0</v>
      </c>
      <c r="E21" s="54">
        <f>PO_CPE!U46</f>
        <v>0</v>
      </c>
      <c r="F21" s="382">
        <f t="shared" si="1"/>
        <v>0</v>
      </c>
      <c r="G21" s="52">
        <f t="shared" si="0"/>
        <v>0</v>
      </c>
      <c r="L21" s="55"/>
    </row>
    <row r="22" spans="1:12" x14ac:dyDescent="0.35">
      <c r="A22" s="93"/>
      <c r="B22" s="135"/>
      <c r="C22" s="53" t="str">
        <f>PO_CPE!D51</f>
        <v>Revestimentos e Pinturas</v>
      </c>
      <c r="D22" s="54">
        <f>PO_CPE!S51</f>
        <v>26944.83</v>
      </c>
      <c r="E22" s="54">
        <f>PO_CPE!U51</f>
        <v>33681.050000000003</v>
      </c>
      <c r="F22" s="382">
        <f t="shared" si="1"/>
        <v>7.0359346209884321E-2</v>
      </c>
      <c r="G22" s="52">
        <f t="shared" si="0"/>
        <v>6.469659626046273E-2</v>
      </c>
      <c r="L22" s="55"/>
    </row>
    <row r="23" spans="1:12" x14ac:dyDescent="0.35">
      <c r="A23" s="93"/>
      <c r="B23" s="135"/>
      <c r="C23" s="53" t="str">
        <f>PO_CPE!D71</f>
        <v>Pavimentação</v>
      </c>
      <c r="D23" s="54">
        <f>PO_CPE!S71</f>
        <v>53525.109999999993</v>
      </c>
      <c r="E23" s="54">
        <f>PO_CPE!U71</f>
        <v>66906.37999999999</v>
      </c>
      <c r="F23" s="382">
        <f t="shared" si="1"/>
        <v>0.13976676584755371</v>
      </c>
      <c r="G23" s="52">
        <f t="shared" si="0"/>
        <v>0.12851788010786691</v>
      </c>
      <c r="L23" s="55"/>
    </row>
    <row r="24" spans="1:12" x14ac:dyDescent="0.35">
      <c r="A24" s="93"/>
      <c r="B24" s="135"/>
      <c r="C24" s="53" t="str">
        <f>PO_CPE!D81</f>
        <v>Instalações Elétricas</v>
      </c>
      <c r="D24" s="54">
        <f>PO_CPE!S81</f>
        <v>98900.98</v>
      </c>
      <c r="E24" s="54">
        <f>PO_CPE!U81</f>
        <v>123626.32999999999</v>
      </c>
      <c r="F24" s="382">
        <f t="shared" si="1"/>
        <v>0.25825393191632101</v>
      </c>
      <c r="G24" s="52">
        <f t="shared" si="0"/>
        <v>0.23746881211809828</v>
      </c>
      <c r="L24" s="55"/>
    </row>
    <row r="25" spans="1:12" x14ac:dyDescent="0.35">
      <c r="A25" s="93"/>
      <c r="B25" s="135"/>
      <c r="C25" s="53" t="str">
        <f>PO_CPE!D158</f>
        <v>Instalações Hidrossanitárias</v>
      </c>
      <c r="D25" s="54">
        <f>PO_CPE!S158</f>
        <v>2247.4</v>
      </c>
      <c r="E25" s="54">
        <f>PO_CPE!U158</f>
        <v>2809.2899999999995</v>
      </c>
      <c r="F25" s="382">
        <f t="shared" si="1"/>
        <v>5.8684947974098935E-3</v>
      </c>
      <c r="G25" s="52">
        <f t="shared" si="0"/>
        <v>5.3961791718769025E-3</v>
      </c>
      <c r="L25" s="55"/>
    </row>
    <row r="26" spans="1:12" x14ac:dyDescent="0.35">
      <c r="A26" s="93"/>
      <c r="B26" s="135"/>
      <c r="C26" s="53" t="str">
        <f>PO_CPE!D203</f>
        <v>Instalações de Gás</v>
      </c>
      <c r="D26" s="54">
        <f>PO_CPE!S203</f>
        <v>0</v>
      </c>
      <c r="E26" s="54">
        <f>PO_CPE!U203</f>
        <v>0</v>
      </c>
      <c r="F26" s="382">
        <f t="shared" ref="F26:F27" si="2">D26/$D$15</f>
        <v>0</v>
      </c>
      <c r="G26" s="52">
        <f t="shared" si="0"/>
        <v>0</v>
      </c>
      <c r="L26" s="55"/>
    </row>
    <row r="27" spans="1:12" x14ac:dyDescent="0.35">
      <c r="A27" s="93"/>
      <c r="B27" s="135"/>
      <c r="C27" s="53" t="str">
        <f>PO_CPE!D205</f>
        <v>Instalações Contra Incêndio</v>
      </c>
      <c r="D27" s="54">
        <f>PO_CPE!S205</f>
        <v>0</v>
      </c>
      <c r="E27" s="54">
        <f>PO_CPE!U205</f>
        <v>0</v>
      </c>
      <c r="F27" s="382">
        <f t="shared" si="2"/>
        <v>0</v>
      </c>
      <c r="G27" s="52">
        <f t="shared" si="0"/>
        <v>0</v>
      </c>
      <c r="L27" s="55"/>
    </row>
    <row r="28" spans="1:12" x14ac:dyDescent="0.35">
      <c r="A28" s="93"/>
      <c r="B28" s="135"/>
      <c r="C28" s="53" t="str">
        <f>PO_CPE!D207</f>
        <v>Instalações Mecânicas</v>
      </c>
      <c r="D28" s="54">
        <f>PO_CPE!S207</f>
        <v>0</v>
      </c>
      <c r="E28" s="54">
        <f>PO_CPE!U207</f>
        <v>0</v>
      </c>
      <c r="F28" s="382">
        <f t="shared" si="1"/>
        <v>0</v>
      </c>
      <c r="G28" s="52">
        <f t="shared" si="0"/>
        <v>0</v>
      </c>
      <c r="L28" s="55"/>
    </row>
    <row r="29" spans="1:12" x14ac:dyDescent="0.35">
      <c r="A29" s="93"/>
      <c r="B29" s="135"/>
      <c r="C29" s="53" t="str">
        <f>PO_CPE!D209</f>
        <v>Climatização e Ventilação</v>
      </c>
      <c r="D29" s="54">
        <f>PO_CPE!S209</f>
        <v>119063.05</v>
      </c>
      <c r="E29" s="54">
        <f>PO_CPE!U209</f>
        <v>148828.82999999999</v>
      </c>
      <c r="F29" s="382">
        <f t="shared" si="1"/>
        <v>0.31090188194747442</v>
      </c>
      <c r="G29" s="52">
        <f t="shared" si="0"/>
        <v>0.28587948320287365</v>
      </c>
      <c r="L29" s="55"/>
    </row>
    <row r="30" spans="1:12" x14ac:dyDescent="0.35">
      <c r="A30" s="93"/>
      <c r="B30" s="249"/>
      <c r="C30" s="53" t="str">
        <f>PO_CPE!D245</f>
        <v>Louças / Aparelhos / Metais</v>
      </c>
      <c r="D30" s="54">
        <f>PO_CPE!S245</f>
        <v>2124.12</v>
      </c>
      <c r="E30" s="54">
        <f>PO_CPE!U245</f>
        <v>2655.15</v>
      </c>
      <c r="F30" s="382">
        <f t="shared" si="1"/>
        <v>5.5465814581624551E-3</v>
      </c>
      <c r="G30" s="52">
        <f t="shared" ref="G30" si="3">D30/$D$33</f>
        <v>5.1001744694167328E-3</v>
      </c>
      <c r="L30" s="55"/>
    </row>
    <row r="31" spans="1:12" x14ac:dyDescent="0.35">
      <c r="A31" s="93"/>
      <c r="B31" s="136"/>
      <c r="C31" s="250" t="str">
        <f>PO_CPE!D253</f>
        <v>Serviços Complementares</v>
      </c>
      <c r="D31" s="98">
        <f>PO_CPE!S253</f>
        <v>3501.4700000000003</v>
      </c>
      <c r="E31" s="98">
        <f>PO_CPE!U253</f>
        <v>4376.84</v>
      </c>
      <c r="F31" s="383">
        <f t="shared" si="1"/>
        <v>9.1431692081012823E-3</v>
      </c>
      <c r="G31" s="99">
        <f>D31/$D$33</f>
        <v>8.4072970921739883E-3</v>
      </c>
      <c r="L31" s="55"/>
    </row>
    <row r="32" spans="1:12" x14ac:dyDescent="0.35">
      <c r="A32" s="93"/>
      <c r="B32" s="92"/>
      <c r="C32" s="2"/>
      <c r="D32" s="2"/>
      <c r="E32" s="2"/>
      <c r="F32" s="2"/>
      <c r="G32" s="93"/>
    </row>
    <row r="33" spans="1:12" ht="17.25" x14ac:dyDescent="0.35">
      <c r="A33" s="93"/>
      <c r="B33" s="92"/>
      <c r="C33" s="94" t="str">
        <f>PO_IND!I61</f>
        <v>TOTAL (R$) =</v>
      </c>
      <c r="D33" s="95">
        <f>D15+D12</f>
        <v>416479.87</v>
      </c>
      <c r="E33" s="95">
        <f>E15+E12</f>
        <v>520600.05000000005</v>
      </c>
      <c r="F33" s="95"/>
      <c r="G33" s="96">
        <f>+D33/$D$33</f>
        <v>1</v>
      </c>
    </row>
    <row r="34" spans="1:12" ht="17.25" x14ac:dyDescent="0.35">
      <c r="A34" s="93"/>
      <c r="B34" s="92"/>
      <c r="C34" s="94" t="str">
        <f>PO_IND!K62</f>
        <v>ÁREA (m²) =</v>
      </c>
      <c r="D34" s="97">
        <f>'Dados Gerais'!D20</f>
        <v>505</v>
      </c>
      <c r="E34" s="97"/>
      <c r="F34" s="97"/>
      <c r="G34" s="93"/>
    </row>
    <row r="35" spans="1:12" ht="17.25" x14ac:dyDescent="0.35">
      <c r="A35" s="93"/>
      <c r="B35" s="372"/>
      <c r="C35" s="307" t="str">
        <f>PO_IND!K63</f>
        <v>R$/m² =</v>
      </c>
      <c r="D35" s="308">
        <f>+ROUND(D33/D34,2)</f>
        <v>824.71</v>
      </c>
      <c r="E35" s="308">
        <f>+ROUND(E33/D34,2)</f>
        <v>1030.8900000000001</v>
      </c>
      <c r="F35" s="308"/>
      <c r="G35" s="309"/>
    </row>
    <row r="38" spans="1:12" x14ac:dyDescent="0.35">
      <c r="C38" s="43"/>
      <c r="D38" s="55"/>
      <c r="E38" s="55"/>
      <c r="F38" s="55"/>
      <c r="L38" s="55"/>
    </row>
    <row r="40" spans="1:12" x14ac:dyDescent="0.35">
      <c r="D40" s="312" t="s">
        <v>87</v>
      </c>
      <c r="E40" s="312" t="s">
        <v>87</v>
      </c>
      <c r="F40" s="310">
        <f>PO_IND!N61+PO_CPE!U10</f>
        <v>520600.05000000005</v>
      </c>
    </row>
    <row r="41" spans="1:12" x14ac:dyDescent="0.35">
      <c r="C41" s="43"/>
      <c r="D41" s="137"/>
      <c r="E41" s="137"/>
      <c r="F41" s="311">
        <f>F40-E33</f>
        <v>0</v>
      </c>
    </row>
    <row r="42" spans="1:12" x14ac:dyDescent="0.35">
      <c r="C42" s="43"/>
      <c r="D42" s="137"/>
      <c r="E42" s="137"/>
      <c r="F42" s="138"/>
    </row>
    <row r="43" spans="1:12" x14ac:dyDescent="0.35">
      <c r="F43" s="139"/>
    </row>
  </sheetData>
  <mergeCells count="10">
    <mergeCell ref="B1:G1"/>
    <mergeCell ref="B9:G9"/>
    <mergeCell ref="F10:F11"/>
    <mergeCell ref="B10:B11"/>
    <mergeCell ref="C10:C11"/>
    <mergeCell ref="D10:D11"/>
    <mergeCell ref="G10:G11"/>
    <mergeCell ref="F6:G6"/>
    <mergeCell ref="F8:G8"/>
    <mergeCell ref="E10:E11"/>
  </mergeCells>
  <phoneticPr fontId="29" type="noConversion"/>
  <printOptions horizontalCentered="1"/>
  <pageMargins left="0.19685039370078741" right="0.19685039370078741" top="0.78740157480314965" bottom="0.19685039370078741" header="0.31496062992125984" footer="0.31496062992125984"/>
  <pageSetup paperSize="9" scale="81" orientation="portrait" r:id="rId1"/>
  <headerFooter>
    <oddFooter>&amp;CPág. &amp;P de &amp;N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P336"/>
  <sheetViews>
    <sheetView showGridLines="0" view="pageBreakPreview" zoomScale="85" zoomScaleNormal="130" zoomScaleSheetLayoutView="85" workbookViewId="0">
      <selection activeCell="B7" sqref="B7:C7"/>
    </sheetView>
  </sheetViews>
  <sheetFormatPr defaultRowHeight="12.75" x14ac:dyDescent="0.2"/>
  <cols>
    <col min="1" max="1" width="10" style="422" customWidth="1"/>
    <col min="2" max="2" width="47.7109375" style="422" customWidth="1"/>
    <col min="3" max="3" width="15.28515625" style="422" customWidth="1"/>
    <col min="4" max="4" width="9.5703125" style="419" bestFit="1" customWidth="1"/>
    <col min="5" max="42" width="9.140625" style="419"/>
    <col min="43" max="256" width="9.140625" style="422"/>
    <col min="257" max="257" width="10" style="422" customWidth="1"/>
    <col min="258" max="258" width="47.7109375" style="422" customWidth="1"/>
    <col min="259" max="259" width="15.28515625" style="422" customWidth="1"/>
    <col min="260" max="260" width="9.5703125" style="422" bestFit="1" customWidth="1"/>
    <col min="261" max="512" width="9.140625" style="422"/>
    <col min="513" max="513" width="10" style="422" customWidth="1"/>
    <col min="514" max="514" width="47.7109375" style="422" customWidth="1"/>
    <col min="515" max="515" width="15.28515625" style="422" customWidth="1"/>
    <col min="516" max="516" width="9.5703125" style="422" bestFit="1" customWidth="1"/>
    <col min="517" max="768" width="9.140625" style="422"/>
    <col min="769" max="769" width="10" style="422" customWidth="1"/>
    <col min="770" max="770" width="47.7109375" style="422" customWidth="1"/>
    <col min="771" max="771" width="15.28515625" style="422" customWidth="1"/>
    <col min="772" max="772" width="9.5703125" style="422" bestFit="1" customWidth="1"/>
    <col min="773" max="1024" width="9.140625" style="422"/>
    <col min="1025" max="1025" width="10" style="422" customWidth="1"/>
    <col min="1026" max="1026" width="47.7109375" style="422" customWidth="1"/>
    <col min="1027" max="1027" width="15.28515625" style="422" customWidth="1"/>
    <col min="1028" max="1028" width="9.5703125" style="422" bestFit="1" customWidth="1"/>
    <col min="1029" max="1280" width="9.140625" style="422"/>
    <col min="1281" max="1281" width="10" style="422" customWidth="1"/>
    <col min="1282" max="1282" width="47.7109375" style="422" customWidth="1"/>
    <col min="1283" max="1283" width="15.28515625" style="422" customWidth="1"/>
    <col min="1284" max="1284" width="9.5703125" style="422" bestFit="1" customWidth="1"/>
    <col min="1285" max="1536" width="9.140625" style="422"/>
    <col min="1537" max="1537" width="10" style="422" customWidth="1"/>
    <col min="1538" max="1538" width="47.7109375" style="422" customWidth="1"/>
    <col min="1539" max="1539" width="15.28515625" style="422" customWidth="1"/>
    <col min="1540" max="1540" width="9.5703125" style="422" bestFit="1" customWidth="1"/>
    <col min="1541" max="1792" width="9.140625" style="422"/>
    <col min="1793" max="1793" width="10" style="422" customWidth="1"/>
    <col min="1794" max="1794" width="47.7109375" style="422" customWidth="1"/>
    <col min="1795" max="1795" width="15.28515625" style="422" customWidth="1"/>
    <col min="1796" max="1796" width="9.5703125" style="422" bestFit="1" customWidth="1"/>
    <col min="1797" max="2048" width="9.140625" style="422"/>
    <col min="2049" max="2049" width="10" style="422" customWidth="1"/>
    <col min="2050" max="2050" width="47.7109375" style="422" customWidth="1"/>
    <col min="2051" max="2051" width="15.28515625" style="422" customWidth="1"/>
    <col min="2052" max="2052" width="9.5703125" style="422" bestFit="1" customWidth="1"/>
    <col min="2053" max="2304" width="9.140625" style="422"/>
    <col min="2305" max="2305" width="10" style="422" customWidth="1"/>
    <col min="2306" max="2306" width="47.7109375" style="422" customWidth="1"/>
    <col min="2307" max="2307" width="15.28515625" style="422" customWidth="1"/>
    <col min="2308" max="2308" width="9.5703125" style="422" bestFit="1" customWidth="1"/>
    <col min="2309" max="2560" width="9.140625" style="422"/>
    <col min="2561" max="2561" width="10" style="422" customWidth="1"/>
    <col min="2562" max="2562" width="47.7109375" style="422" customWidth="1"/>
    <col min="2563" max="2563" width="15.28515625" style="422" customWidth="1"/>
    <col min="2564" max="2564" width="9.5703125" style="422" bestFit="1" customWidth="1"/>
    <col min="2565" max="2816" width="9.140625" style="422"/>
    <col min="2817" max="2817" width="10" style="422" customWidth="1"/>
    <col min="2818" max="2818" width="47.7109375" style="422" customWidth="1"/>
    <col min="2819" max="2819" width="15.28515625" style="422" customWidth="1"/>
    <col min="2820" max="2820" width="9.5703125" style="422" bestFit="1" customWidth="1"/>
    <col min="2821" max="3072" width="9.140625" style="422"/>
    <col min="3073" max="3073" width="10" style="422" customWidth="1"/>
    <col min="3074" max="3074" width="47.7109375" style="422" customWidth="1"/>
    <col min="3075" max="3075" width="15.28515625" style="422" customWidth="1"/>
    <col min="3076" max="3076" width="9.5703125" style="422" bestFit="1" customWidth="1"/>
    <col min="3077" max="3328" width="9.140625" style="422"/>
    <col min="3329" max="3329" width="10" style="422" customWidth="1"/>
    <col min="3330" max="3330" width="47.7109375" style="422" customWidth="1"/>
    <col min="3331" max="3331" width="15.28515625" style="422" customWidth="1"/>
    <col min="3332" max="3332" width="9.5703125" style="422" bestFit="1" customWidth="1"/>
    <col min="3333" max="3584" width="9.140625" style="422"/>
    <col min="3585" max="3585" width="10" style="422" customWidth="1"/>
    <col min="3586" max="3586" width="47.7109375" style="422" customWidth="1"/>
    <col min="3587" max="3587" width="15.28515625" style="422" customWidth="1"/>
    <col min="3588" max="3588" width="9.5703125" style="422" bestFit="1" customWidth="1"/>
    <col min="3589" max="3840" width="9.140625" style="422"/>
    <col min="3841" max="3841" width="10" style="422" customWidth="1"/>
    <col min="3842" max="3842" width="47.7109375" style="422" customWidth="1"/>
    <col min="3843" max="3843" width="15.28515625" style="422" customWidth="1"/>
    <col min="3844" max="3844" width="9.5703125" style="422" bestFit="1" customWidth="1"/>
    <col min="3845" max="4096" width="9.140625" style="422"/>
    <col min="4097" max="4097" width="10" style="422" customWidth="1"/>
    <col min="4098" max="4098" width="47.7109375" style="422" customWidth="1"/>
    <col min="4099" max="4099" width="15.28515625" style="422" customWidth="1"/>
    <col min="4100" max="4100" width="9.5703125" style="422" bestFit="1" customWidth="1"/>
    <col min="4101" max="4352" width="9.140625" style="422"/>
    <col min="4353" max="4353" width="10" style="422" customWidth="1"/>
    <col min="4354" max="4354" width="47.7109375" style="422" customWidth="1"/>
    <col min="4355" max="4355" width="15.28515625" style="422" customWidth="1"/>
    <col min="4356" max="4356" width="9.5703125" style="422" bestFit="1" customWidth="1"/>
    <col min="4357" max="4608" width="9.140625" style="422"/>
    <col min="4609" max="4609" width="10" style="422" customWidth="1"/>
    <col min="4610" max="4610" width="47.7109375" style="422" customWidth="1"/>
    <col min="4611" max="4611" width="15.28515625" style="422" customWidth="1"/>
    <col min="4612" max="4612" width="9.5703125" style="422" bestFit="1" customWidth="1"/>
    <col min="4613" max="4864" width="9.140625" style="422"/>
    <col min="4865" max="4865" width="10" style="422" customWidth="1"/>
    <col min="4866" max="4866" width="47.7109375" style="422" customWidth="1"/>
    <col min="4867" max="4867" width="15.28515625" style="422" customWidth="1"/>
    <col min="4868" max="4868" width="9.5703125" style="422" bestFit="1" customWidth="1"/>
    <col min="4869" max="5120" width="9.140625" style="422"/>
    <col min="5121" max="5121" width="10" style="422" customWidth="1"/>
    <col min="5122" max="5122" width="47.7109375" style="422" customWidth="1"/>
    <col min="5123" max="5123" width="15.28515625" style="422" customWidth="1"/>
    <col min="5124" max="5124" width="9.5703125" style="422" bestFit="1" customWidth="1"/>
    <col min="5125" max="5376" width="9.140625" style="422"/>
    <col min="5377" max="5377" width="10" style="422" customWidth="1"/>
    <col min="5378" max="5378" width="47.7109375" style="422" customWidth="1"/>
    <col min="5379" max="5379" width="15.28515625" style="422" customWidth="1"/>
    <col min="5380" max="5380" width="9.5703125" style="422" bestFit="1" customWidth="1"/>
    <col min="5381" max="5632" width="9.140625" style="422"/>
    <col min="5633" max="5633" width="10" style="422" customWidth="1"/>
    <col min="5634" max="5634" width="47.7109375" style="422" customWidth="1"/>
    <col min="5635" max="5635" width="15.28515625" style="422" customWidth="1"/>
    <col min="5636" max="5636" width="9.5703125" style="422" bestFit="1" customWidth="1"/>
    <col min="5637" max="5888" width="9.140625" style="422"/>
    <col min="5889" max="5889" width="10" style="422" customWidth="1"/>
    <col min="5890" max="5890" width="47.7109375" style="422" customWidth="1"/>
    <col min="5891" max="5891" width="15.28515625" style="422" customWidth="1"/>
    <col min="5892" max="5892" width="9.5703125" style="422" bestFit="1" customWidth="1"/>
    <col min="5893" max="6144" width="9.140625" style="422"/>
    <col min="6145" max="6145" width="10" style="422" customWidth="1"/>
    <col min="6146" max="6146" width="47.7109375" style="422" customWidth="1"/>
    <col min="6147" max="6147" width="15.28515625" style="422" customWidth="1"/>
    <col min="6148" max="6148" width="9.5703125" style="422" bestFit="1" customWidth="1"/>
    <col min="6149" max="6400" width="9.140625" style="422"/>
    <col min="6401" max="6401" width="10" style="422" customWidth="1"/>
    <col min="6402" max="6402" width="47.7109375" style="422" customWidth="1"/>
    <col min="6403" max="6403" width="15.28515625" style="422" customWidth="1"/>
    <col min="6404" max="6404" width="9.5703125" style="422" bestFit="1" customWidth="1"/>
    <col min="6405" max="6656" width="9.140625" style="422"/>
    <col min="6657" max="6657" width="10" style="422" customWidth="1"/>
    <col min="6658" max="6658" width="47.7109375" style="422" customWidth="1"/>
    <col min="6659" max="6659" width="15.28515625" style="422" customWidth="1"/>
    <col min="6660" max="6660" width="9.5703125" style="422" bestFit="1" customWidth="1"/>
    <col min="6661" max="6912" width="9.140625" style="422"/>
    <col min="6913" max="6913" width="10" style="422" customWidth="1"/>
    <col min="6914" max="6914" width="47.7109375" style="422" customWidth="1"/>
    <col min="6915" max="6915" width="15.28515625" style="422" customWidth="1"/>
    <col min="6916" max="6916" width="9.5703125" style="422" bestFit="1" customWidth="1"/>
    <col min="6917" max="7168" width="9.140625" style="422"/>
    <col min="7169" max="7169" width="10" style="422" customWidth="1"/>
    <col min="7170" max="7170" width="47.7109375" style="422" customWidth="1"/>
    <col min="7171" max="7171" width="15.28515625" style="422" customWidth="1"/>
    <col min="7172" max="7172" width="9.5703125" style="422" bestFit="1" customWidth="1"/>
    <col min="7173" max="7424" width="9.140625" style="422"/>
    <col min="7425" max="7425" width="10" style="422" customWidth="1"/>
    <col min="7426" max="7426" width="47.7109375" style="422" customWidth="1"/>
    <col min="7427" max="7427" width="15.28515625" style="422" customWidth="1"/>
    <col min="7428" max="7428" width="9.5703125" style="422" bestFit="1" customWidth="1"/>
    <col min="7429" max="7680" width="9.140625" style="422"/>
    <col min="7681" max="7681" width="10" style="422" customWidth="1"/>
    <col min="7682" max="7682" width="47.7109375" style="422" customWidth="1"/>
    <col min="7683" max="7683" width="15.28515625" style="422" customWidth="1"/>
    <col min="7684" max="7684" width="9.5703125" style="422" bestFit="1" customWidth="1"/>
    <col min="7685" max="7936" width="9.140625" style="422"/>
    <col min="7937" max="7937" width="10" style="422" customWidth="1"/>
    <col min="7938" max="7938" width="47.7109375" style="422" customWidth="1"/>
    <col min="7939" max="7939" width="15.28515625" style="422" customWidth="1"/>
    <col min="7940" max="7940" width="9.5703125" style="422" bestFit="1" customWidth="1"/>
    <col min="7941" max="8192" width="9.140625" style="422"/>
    <col min="8193" max="8193" width="10" style="422" customWidth="1"/>
    <col min="8194" max="8194" width="47.7109375" style="422" customWidth="1"/>
    <col min="8195" max="8195" width="15.28515625" style="422" customWidth="1"/>
    <col min="8196" max="8196" width="9.5703125" style="422" bestFit="1" customWidth="1"/>
    <col min="8197" max="8448" width="9.140625" style="422"/>
    <col min="8449" max="8449" width="10" style="422" customWidth="1"/>
    <col min="8450" max="8450" width="47.7109375" style="422" customWidth="1"/>
    <col min="8451" max="8451" width="15.28515625" style="422" customWidth="1"/>
    <col min="8452" max="8452" width="9.5703125" style="422" bestFit="1" customWidth="1"/>
    <col min="8453" max="8704" width="9.140625" style="422"/>
    <col min="8705" max="8705" width="10" style="422" customWidth="1"/>
    <col min="8706" max="8706" width="47.7109375" style="422" customWidth="1"/>
    <col min="8707" max="8707" width="15.28515625" style="422" customWidth="1"/>
    <col min="8708" max="8708" width="9.5703125" style="422" bestFit="1" customWidth="1"/>
    <col min="8709" max="8960" width="9.140625" style="422"/>
    <col min="8961" max="8961" width="10" style="422" customWidth="1"/>
    <col min="8962" max="8962" width="47.7109375" style="422" customWidth="1"/>
    <col min="8963" max="8963" width="15.28515625" style="422" customWidth="1"/>
    <col min="8964" max="8964" width="9.5703125" style="422" bestFit="1" customWidth="1"/>
    <col min="8965" max="9216" width="9.140625" style="422"/>
    <col min="9217" max="9217" width="10" style="422" customWidth="1"/>
    <col min="9218" max="9218" width="47.7109375" style="422" customWidth="1"/>
    <col min="9219" max="9219" width="15.28515625" style="422" customWidth="1"/>
    <col min="9220" max="9220" width="9.5703125" style="422" bestFit="1" customWidth="1"/>
    <col min="9221" max="9472" width="9.140625" style="422"/>
    <col min="9473" max="9473" width="10" style="422" customWidth="1"/>
    <col min="9474" max="9474" width="47.7109375" style="422" customWidth="1"/>
    <col min="9475" max="9475" width="15.28515625" style="422" customWidth="1"/>
    <col min="9476" max="9476" width="9.5703125" style="422" bestFit="1" customWidth="1"/>
    <col min="9477" max="9728" width="9.140625" style="422"/>
    <col min="9729" max="9729" width="10" style="422" customWidth="1"/>
    <col min="9730" max="9730" width="47.7109375" style="422" customWidth="1"/>
    <col min="9731" max="9731" width="15.28515625" style="422" customWidth="1"/>
    <col min="9732" max="9732" width="9.5703125" style="422" bestFit="1" customWidth="1"/>
    <col min="9733" max="9984" width="9.140625" style="422"/>
    <col min="9985" max="9985" width="10" style="422" customWidth="1"/>
    <col min="9986" max="9986" width="47.7109375" style="422" customWidth="1"/>
    <col min="9987" max="9987" width="15.28515625" style="422" customWidth="1"/>
    <col min="9988" max="9988" width="9.5703125" style="422" bestFit="1" customWidth="1"/>
    <col min="9989" max="10240" width="9.140625" style="422"/>
    <col min="10241" max="10241" width="10" style="422" customWidth="1"/>
    <col min="10242" max="10242" width="47.7109375" style="422" customWidth="1"/>
    <col min="10243" max="10243" width="15.28515625" style="422" customWidth="1"/>
    <col min="10244" max="10244" width="9.5703125" style="422" bestFit="1" customWidth="1"/>
    <col min="10245" max="10496" width="9.140625" style="422"/>
    <col min="10497" max="10497" width="10" style="422" customWidth="1"/>
    <col min="10498" max="10498" width="47.7109375" style="422" customWidth="1"/>
    <col min="10499" max="10499" width="15.28515625" style="422" customWidth="1"/>
    <col min="10500" max="10500" width="9.5703125" style="422" bestFit="1" customWidth="1"/>
    <col min="10501" max="10752" width="9.140625" style="422"/>
    <col min="10753" max="10753" width="10" style="422" customWidth="1"/>
    <col min="10754" max="10754" width="47.7109375" style="422" customWidth="1"/>
    <col min="10755" max="10755" width="15.28515625" style="422" customWidth="1"/>
    <col min="10756" max="10756" width="9.5703125" style="422" bestFit="1" customWidth="1"/>
    <col min="10757" max="11008" width="9.140625" style="422"/>
    <col min="11009" max="11009" width="10" style="422" customWidth="1"/>
    <col min="11010" max="11010" width="47.7109375" style="422" customWidth="1"/>
    <col min="11011" max="11011" width="15.28515625" style="422" customWidth="1"/>
    <col min="11012" max="11012" width="9.5703125" style="422" bestFit="1" customWidth="1"/>
    <col min="11013" max="11264" width="9.140625" style="422"/>
    <col min="11265" max="11265" width="10" style="422" customWidth="1"/>
    <col min="11266" max="11266" width="47.7109375" style="422" customWidth="1"/>
    <col min="11267" max="11267" width="15.28515625" style="422" customWidth="1"/>
    <col min="11268" max="11268" width="9.5703125" style="422" bestFit="1" customWidth="1"/>
    <col min="11269" max="11520" width="9.140625" style="422"/>
    <col min="11521" max="11521" width="10" style="422" customWidth="1"/>
    <col min="11522" max="11522" width="47.7109375" style="422" customWidth="1"/>
    <col min="11523" max="11523" width="15.28515625" style="422" customWidth="1"/>
    <col min="11524" max="11524" width="9.5703125" style="422" bestFit="1" customWidth="1"/>
    <col min="11525" max="11776" width="9.140625" style="422"/>
    <col min="11777" max="11777" width="10" style="422" customWidth="1"/>
    <col min="11778" max="11778" width="47.7109375" style="422" customWidth="1"/>
    <col min="11779" max="11779" width="15.28515625" style="422" customWidth="1"/>
    <col min="11780" max="11780" width="9.5703125" style="422" bestFit="1" customWidth="1"/>
    <col min="11781" max="12032" width="9.140625" style="422"/>
    <col min="12033" max="12033" width="10" style="422" customWidth="1"/>
    <col min="12034" max="12034" width="47.7109375" style="422" customWidth="1"/>
    <col min="12035" max="12035" width="15.28515625" style="422" customWidth="1"/>
    <col min="12036" max="12036" width="9.5703125" style="422" bestFit="1" customWidth="1"/>
    <col min="12037" max="12288" width="9.140625" style="422"/>
    <col min="12289" max="12289" width="10" style="422" customWidth="1"/>
    <col min="12290" max="12290" width="47.7109375" style="422" customWidth="1"/>
    <col min="12291" max="12291" width="15.28515625" style="422" customWidth="1"/>
    <col min="12292" max="12292" width="9.5703125" style="422" bestFit="1" customWidth="1"/>
    <col min="12293" max="12544" width="9.140625" style="422"/>
    <col min="12545" max="12545" width="10" style="422" customWidth="1"/>
    <col min="12546" max="12546" width="47.7109375" style="422" customWidth="1"/>
    <col min="12547" max="12547" width="15.28515625" style="422" customWidth="1"/>
    <col min="12548" max="12548" width="9.5703125" style="422" bestFit="1" customWidth="1"/>
    <col min="12549" max="12800" width="9.140625" style="422"/>
    <col min="12801" max="12801" width="10" style="422" customWidth="1"/>
    <col min="12802" max="12802" width="47.7109375" style="422" customWidth="1"/>
    <col min="12803" max="12803" width="15.28515625" style="422" customWidth="1"/>
    <col min="12804" max="12804" width="9.5703125" style="422" bestFit="1" customWidth="1"/>
    <col min="12805" max="13056" width="9.140625" style="422"/>
    <col min="13057" max="13057" width="10" style="422" customWidth="1"/>
    <col min="13058" max="13058" width="47.7109375" style="422" customWidth="1"/>
    <col min="13059" max="13059" width="15.28515625" style="422" customWidth="1"/>
    <col min="13060" max="13060" width="9.5703125" style="422" bestFit="1" customWidth="1"/>
    <col min="13061" max="13312" width="9.140625" style="422"/>
    <col min="13313" max="13313" width="10" style="422" customWidth="1"/>
    <col min="13314" max="13314" width="47.7109375" style="422" customWidth="1"/>
    <col min="13315" max="13315" width="15.28515625" style="422" customWidth="1"/>
    <col min="13316" max="13316" width="9.5703125" style="422" bestFit="1" customWidth="1"/>
    <col min="13317" max="13568" width="9.140625" style="422"/>
    <col min="13569" max="13569" width="10" style="422" customWidth="1"/>
    <col min="13570" max="13570" width="47.7109375" style="422" customWidth="1"/>
    <col min="13571" max="13571" width="15.28515625" style="422" customWidth="1"/>
    <col min="13572" max="13572" width="9.5703125" style="422" bestFit="1" customWidth="1"/>
    <col min="13573" max="13824" width="9.140625" style="422"/>
    <col min="13825" max="13825" width="10" style="422" customWidth="1"/>
    <col min="13826" max="13826" width="47.7109375" style="422" customWidth="1"/>
    <col min="13827" max="13827" width="15.28515625" style="422" customWidth="1"/>
    <col min="13828" max="13828" width="9.5703125" style="422" bestFit="1" customWidth="1"/>
    <col min="13829" max="14080" width="9.140625" style="422"/>
    <col min="14081" max="14081" width="10" style="422" customWidth="1"/>
    <col min="14082" max="14082" width="47.7109375" style="422" customWidth="1"/>
    <col min="14083" max="14083" width="15.28515625" style="422" customWidth="1"/>
    <col min="14084" max="14084" width="9.5703125" style="422" bestFit="1" customWidth="1"/>
    <col min="14085" max="14336" width="9.140625" style="422"/>
    <col min="14337" max="14337" width="10" style="422" customWidth="1"/>
    <col min="14338" max="14338" width="47.7109375" style="422" customWidth="1"/>
    <col min="14339" max="14339" width="15.28515625" style="422" customWidth="1"/>
    <col min="14340" max="14340" width="9.5703125" style="422" bestFit="1" customWidth="1"/>
    <col min="14341" max="14592" width="9.140625" style="422"/>
    <col min="14593" max="14593" width="10" style="422" customWidth="1"/>
    <col min="14594" max="14594" width="47.7109375" style="422" customWidth="1"/>
    <col min="14595" max="14595" width="15.28515625" style="422" customWidth="1"/>
    <col min="14596" max="14596" width="9.5703125" style="422" bestFit="1" customWidth="1"/>
    <col min="14597" max="14848" width="9.140625" style="422"/>
    <col min="14849" max="14849" width="10" style="422" customWidth="1"/>
    <col min="14850" max="14850" width="47.7109375" style="422" customWidth="1"/>
    <col min="14851" max="14851" width="15.28515625" style="422" customWidth="1"/>
    <col min="14852" max="14852" width="9.5703125" style="422" bestFit="1" customWidth="1"/>
    <col min="14853" max="15104" width="9.140625" style="422"/>
    <col min="15105" max="15105" width="10" style="422" customWidth="1"/>
    <col min="15106" max="15106" width="47.7109375" style="422" customWidth="1"/>
    <col min="15107" max="15107" width="15.28515625" style="422" customWidth="1"/>
    <col min="15108" max="15108" width="9.5703125" style="422" bestFit="1" customWidth="1"/>
    <col min="15109" max="15360" width="9.140625" style="422"/>
    <col min="15361" max="15361" width="10" style="422" customWidth="1"/>
    <col min="15362" max="15362" width="47.7109375" style="422" customWidth="1"/>
    <col min="15363" max="15363" width="15.28515625" style="422" customWidth="1"/>
    <col min="15364" max="15364" width="9.5703125" style="422" bestFit="1" customWidth="1"/>
    <col min="15365" max="15616" width="9.140625" style="422"/>
    <col min="15617" max="15617" width="10" style="422" customWidth="1"/>
    <col min="15618" max="15618" width="47.7109375" style="422" customWidth="1"/>
    <col min="15619" max="15619" width="15.28515625" style="422" customWidth="1"/>
    <col min="15620" max="15620" width="9.5703125" style="422" bestFit="1" customWidth="1"/>
    <col min="15621" max="15872" width="9.140625" style="422"/>
    <col min="15873" max="15873" width="10" style="422" customWidth="1"/>
    <col min="15874" max="15874" width="47.7109375" style="422" customWidth="1"/>
    <col min="15875" max="15875" width="15.28515625" style="422" customWidth="1"/>
    <col min="15876" max="15876" width="9.5703125" style="422" bestFit="1" customWidth="1"/>
    <col min="15877" max="16128" width="9.140625" style="422"/>
    <col min="16129" max="16129" width="10" style="422" customWidth="1"/>
    <col min="16130" max="16130" width="47.7109375" style="422" customWidth="1"/>
    <col min="16131" max="16131" width="15.28515625" style="422" customWidth="1"/>
    <col min="16132" max="16132" width="9.5703125" style="422" bestFit="1" customWidth="1"/>
    <col min="16133" max="16384" width="9.140625" style="422"/>
  </cols>
  <sheetData>
    <row r="1" spans="1:9" x14ac:dyDescent="0.2">
      <c r="A1" s="416"/>
      <c r="B1" s="417"/>
      <c r="C1" s="418"/>
    </row>
    <row r="2" spans="1:9" x14ac:dyDescent="0.2">
      <c r="A2" s="420"/>
      <c r="B2" s="640" t="s">
        <v>375</v>
      </c>
      <c r="C2" s="641"/>
    </row>
    <row r="3" spans="1:9" x14ac:dyDescent="0.2">
      <c r="A3" s="420"/>
      <c r="B3" s="642"/>
      <c r="C3" s="643"/>
    </row>
    <row r="4" spans="1:9" x14ac:dyDescent="0.2">
      <c r="A4" s="421"/>
      <c r="B4" s="644" t="s">
        <v>166</v>
      </c>
      <c r="C4" s="645"/>
    </row>
    <row r="5" spans="1:9" x14ac:dyDescent="0.2">
      <c r="B5" s="423" t="s">
        <v>167</v>
      </c>
    </row>
    <row r="6" spans="1:9" ht="13.5" thickBot="1" x14ac:dyDescent="0.25">
      <c r="B6" s="422" t="s">
        <v>168</v>
      </c>
    </row>
    <row r="7" spans="1:9" ht="38.25" customHeight="1" x14ac:dyDescent="0.2">
      <c r="A7" s="424" t="s">
        <v>169</v>
      </c>
      <c r="B7" s="646" t="s">
        <v>170</v>
      </c>
      <c r="C7" s="647"/>
    </row>
    <row r="8" spans="1:9" x14ac:dyDescent="0.2">
      <c r="A8" s="425" t="s">
        <v>171</v>
      </c>
      <c r="B8" s="426" t="s">
        <v>172</v>
      </c>
      <c r="C8" s="427">
        <v>5.5E-2</v>
      </c>
      <c r="D8" s="428"/>
    </row>
    <row r="9" spans="1:9" x14ac:dyDescent="0.2">
      <c r="A9" s="425" t="s">
        <v>173</v>
      </c>
      <c r="B9" s="426" t="s">
        <v>174</v>
      </c>
      <c r="C9" s="427">
        <f>SUM(C10:C12)</f>
        <v>2.2699999999999998E-2</v>
      </c>
      <c r="D9" s="429"/>
    </row>
    <row r="10" spans="1:9" x14ac:dyDescent="0.2">
      <c r="A10" s="430" t="s">
        <v>175</v>
      </c>
      <c r="B10" s="431" t="s">
        <v>176</v>
      </c>
      <c r="C10" s="432">
        <v>5.0000000000000001E-3</v>
      </c>
      <c r="D10" s="428"/>
    </row>
    <row r="11" spans="1:9" x14ac:dyDescent="0.2">
      <c r="A11" s="430" t="s">
        <v>177</v>
      </c>
      <c r="B11" s="431" t="s">
        <v>178</v>
      </c>
      <c r="C11" s="432">
        <v>5.0000000000000001E-3</v>
      </c>
    </row>
    <row r="12" spans="1:9" x14ac:dyDescent="0.2">
      <c r="A12" s="430" t="s">
        <v>179</v>
      </c>
      <c r="B12" s="431" t="s">
        <v>180</v>
      </c>
      <c r="C12" s="432">
        <v>1.2699999999999999E-2</v>
      </c>
      <c r="D12" s="428"/>
    </row>
    <row r="13" spans="1:9" x14ac:dyDescent="0.2">
      <c r="A13" s="425" t="s">
        <v>181</v>
      </c>
      <c r="B13" s="426" t="s">
        <v>182</v>
      </c>
      <c r="C13" s="427">
        <v>1.2699999999999999E-2</v>
      </c>
    </row>
    <row r="14" spans="1:9" x14ac:dyDescent="0.2">
      <c r="A14" s="433" t="s">
        <v>183</v>
      </c>
      <c r="B14" s="434" t="s">
        <v>184</v>
      </c>
      <c r="C14" s="435">
        <v>8.5199999999999998E-2</v>
      </c>
      <c r="D14" s="429"/>
    </row>
    <row r="15" spans="1:9" x14ac:dyDescent="0.2">
      <c r="A15" s="425" t="s">
        <v>185</v>
      </c>
      <c r="B15" s="426" t="s">
        <v>186</v>
      </c>
      <c r="C15" s="427">
        <f>SUM(C16:C19)</f>
        <v>5.2499999999999998E-2</v>
      </c>
      <c r="D15" s="428"/>
    </row>
    <row r="16" spans="1:9" x14ac:dyDescent="0.2">
      <c r="A16" s="430" t="s">
        <v>187</v>
      </c>
      <c r="B16" s="431" t="s">
        <v>188</v>
      </c>
      <c r="C16" s="436">
        <f>4*0.4%</f>
        <v>1.6E-2</v>
      </c>
      <c r="D16" s="423"/>
      <c r="E16" s="538" t="s">
        <v>622</v>
      </c>
      <c r="F16" s="438"/>
      <c r="G16" s="438"/>
      <c r="H16" s="439"/>
      <c r="I16" s="438"/>
    </row>
    <row r="17" spans="1:6" x14ac:dyDescent="0.2">
      <c r="A17" s="430" t="s">
        <v>189</v>
      </c>
      <c r="B17" s="431" t="s">
        <v>190</v>
      </c>
      <c r="C17" s="432">
        <v>6.4999999999999997E-3</v>
      </c>
      <c r="D17" s="428"/>
      <c r="E17" s="538" t="s">
        <v>621</v>
      </c>
      <c r="F17" s="440"/>
    </row>
    <row r="18" spans="1:6" x14ac:dyDescent="0.2">
      <c r="A18" s="430" t="s">
        <v>191</v>
      </c>
      <c r="B18" s="431" t="s">
        <v>192</v>
      </c>
      <c r="C18" s="432">
        <v>0.03</v>
      </c>
    </row>
    <row r="19" spans="1:6" x14ac:dyDescent="0.2">
      <c r="A19" s="430" t="s">
        <v>193</v>
      </c>
      <c r="B19" s="441" t="s">
        <v>194</v>
      </c>
      <c r="C19" s="442">
        <v>0</v>
      </c>
    </row>
    <row r="20" spans="1:6" ht="13.5" thickBot="1" x14ac:dyDescent="0.25">
      <c r="A20" s="443"/>
      <c r="B20" s="444" t="s">
        <v>121</v>
      </c>
      <c r="C20" s="445">
        <f>ROUND((+(((1+C8+C9)*(1+C13)*(1+C14))/(1-C15))-1),4)</f>
        <v>0.25</v>
      </c>
      <c r="D20" s="446"/>
    </row>
    <row r="21" spans="1:6" x14ac:dyDescent="0.2">
      <c r="A21" s="447"/>
      <c r="C21" s="448"/>
      <c r="D21" s="446"/>
    </row>
    <row r="23" spans="1:6" s="419" customFormat="1" x14ac:dyDescent="0.2"/>
    <row r="24" spans="1:6" s="419" customFormat="1" x14ac:dyDescent="0.2"/>
    <row r="25" spans="1:6" s="419" customFormat="1" x14ac:dyDescent="0.2"/>
    <row r="26" spans="1:6" s="419" customFormat="1" x14ac:dyDescent="0.2"/>
    <row r="27" spans="1:6" s="419" customFormat="1" ht="63" customHeight="1" x14ac:dyDescent="0.2">
      <c r="A27" s="648"/>
      <c r="B27" s="648"/>
      <c r="C27" s="648"/>
    </row>
    <row r="28" spans="1:6" s="419" customFormat="1" x14ac:dyDescent="0.2">
      <c r="F28" s="437"/>
    </row>
    <row r="29" spans="1:6" s="419" customFormat="1" x14ac:dyDescent="0.2"/>
    <row r="30" spans="1:6" s="419" customFormat="1" x14ac:dyDescent="0.2"/>
    <row r="31" spans="1:6" s="419" customFormat="1" x14ac:dyDescent="0.2"/>
    <row r="32" spans="1:6" s="419" customFormat="1" x14ac:dyDescent="0.2"/>
    <row r="33" s="419" customFormat="1" x14ac:dyDescent="0.2"/>
    <row r="34" s="419" customFormat="1" x14ac:dyDescent="0.2"/>
    <row r="35" s="419" customFormat="1" x14ac:dyDescent="0.2"/>
    <row r="36" s="419" customFormat="1" x14ac:dyDescent="0.2"/>
    <row r="37" s="419" customFormat="1" x14ac:dyDescent="0.2"/>
    <row r="38" s="419" customFormat="1" x14ac:dyDescent="0.2"/>
    <row r="39" s="419" customFormat="1" x14ac:dyDescent="0.2"/>
    <row r="40" s="419" customFormat="1" x14ac:dyDescent="0.2"/>
    <row r="41" s="419" customFormat="1" x14ac:dyDescent="0.2"/>
    <row r="42" s="419" customFormat="1" x14ac:dyDescent="0.2"/>
    <row r="43" s="419" customFormat="1" x14ac:dyDescent="0.2"/>
    <row r="44" s="419" customFormat="1" x14ac:dyDescent="0.2"/>
    <row r="45" s="419" customFormat="1" x14ac:dyDescent="0.2"/>
    <row r="46" s="419" customFormat="1" x14ac:dyDescent="0.2"/>
    <row r="47" s="419" customFormat="1" x14ac:dyDescent="0.2"/>
    <row r="48" s="419" customFormat="1" x14ac:dyDescent="0.2"/>
    <row r="49" s="419" customFormat="1" x14ac:dyDescent="0.2"/>
    <row r="50" s="419" customFormat="1" x14ac:dyDescent="0.2"/>
    <row r="51" s="419" customFormat="1" x14ac:dyDescent="0.2"/>
    <row r="52" s="419" customFormat="1" x14ac:dyDescent="0.2"/>
    <row r="53" s="419" customFormat="1" x14ac:dyDescent="0.2"/>
    <row r="54" s="419" customFormat="1" x14ac:dyDescent="0.2"/>
    <row r="55" s="419" customFormat="1" x14ac:dyDescent="0.2"/>
    <row r="56" s="419" customFormat="1" x14ac:dyDescent="0.2"/>
    <row r="57" s="419" customFormat="1" x14ac:dyDescent="0.2"/>
    <row r="58" s="419" customFormat="1" x14ac:dyDescent="0.2"/>
    <row r="59" s="419" customFormat="1" x14ac:dyDescent="0.2"/>
    <row r="60" s="419" customFormat="1" x14ac:dyDescent="0.2"/>
    <row r="61" s="419" customFormat="1" x14ac:dyDescent="0.2"/>
    <row r="62" s="419" customFormat="1" x14ac:dyDescent="0.2"/>
    <row r="63" s="419" customFormat="1" x14ac:dyDescent="0.2"/>
    <row r="64" s="419" customFormat="1" x14ac:dyDescent="0.2"/>
    <row r="65" s="419" customFormat="1" x14ac:dyDescent="0.2"/>
    <row r="66" s="419" customFormat="1" x14ac:dyDescent="0.2"/>
    <row r="67" s="419" customFormat="1" x14ac:dyDescent="0.2"/>
    <row r="68" s="419" customFormat="1" x14ac:dyDescent="0.2"/>
    <row r="69" s="419" customFormat="1" x14ac:dyDescent="0.2"/>
    <row r="70" s="419" customFormat="1" x14ac:dyDescent="0.2"/>
    <row r="71" s="419" customFormat="1" x14ac:dyDescent="0.2"/>
    <row r="72" s="419" customFormat="1" x14ac:dyDescent="0.2"/>
    <row r="73" s="419" customFormat="1" x14ac:dyDescent="0.2"/>
    <row r="74" s="419" customFormat="1" x14ac:dyDescent="0.2"/>
    <row r="75" s="419" customFormat="1" x14ac:dyDescent="0.2"/>
    <row r="76" s="419" customFormat="1" x14ac:dyDescent="0.2"/>
    <row r="77" s="419" customFormat="1" x14ac:dyDescent="0.2"/>
    <row r="78" s="419" customFormat="1" x14ac:dyDescent="0.2"/>
    <row r="79" s="419" customFormat="1" x14ac:dyDescent="0.2"/>
    <row r="80" s="419" customFormat="1" x14ac:dyDescent="0.2"/>
    <row r="81" s="419" customFormat="1" x14ac:dyDescent="0.2"/>
    <row r="82" s="419" customFormat="1" x14ac:dyDescent="0.2"/>
    <row r="83" s="419" customFormat="1" x14ac:dyDescent="0.2"/>
    <row r="84" s="419" customFormat="1" x14ac:dyDescent="0.2"/>
    <row r="85" s="419" customFormat="1" x14ac:dyDescent="0.2"/>
    <row r="86" s="419" customFormat="1" x14ac:dyDescent="0.2"/>
    <row r="87" s="419" customFormat="1" x14ac:dyDescent="0.2"/>
    <row r="88" s="419" customFormat="1" x14ac:dyDescent="0.2"/>
    <row r="89" s="419" customFormat="1" x14ac:dyDescent="0.2"/>
    <row r="90" s="419" customFormat="1" x14ac:dyDescent="0.2"/>
    <row r="91" s="419" customFormat="1" x14ac:dyDescent="0.2"/>
    <row r="92" s="419" customFormat="1" x14ac:dyDescent="0.2"/>
    <row r="93" s="419" customFormat="1" x14ac:dyDescent="0.2"/>
    <row r="94" s="419" customFormat="1" x14ac:dyDescent="0.2"/>
    <row r="95" s="419" customFormat="1" x14ac:dyDescent="0.2"/>
    <row r="96" s="419" customFormat="1" x14ac:dyDescent="0.2"/>
    <row r="97" s="419" customFormat="1" x14ac:dyDescent="0.2"/>
    <row r="98" s="419" customFormat="1" x14ac:dyDescent="0.2"/>
    <row r="99" s="419" customFormat="1" x14ac:dyDescent="0.2"/>
    <row r="100" s="419" customFormat="1" x14ac:dyDescent="0.2"/>
    <row r="101" s="419" customFormat="1" x14ac:dyDescent="0.2"/>
    <row r="102" s="419" customFormat="1" x14ac:dyDescent="0.2"/>
    <row r="103" s="419" customFormat="1" x14ac:dyDescent="0.2"/>
    <row r="104" s="419" customFormat="1" x14ac:dyDescent="0.2"/>
    <row r="105" s="419" customFormat="1" x14ac:dyDescent="0.2"/>
    <row r="106" s="419" customFormat="1" x14ac:dyDescent="0.2"/>
    <row r="107" s="419" customFormat="1" x14ac:dyDescent="0.2"/>
    <row r="108" s="419" customFormat="1" x14ac:dyDescent="0.2"/>
    <row r="109" s="419" customFormat="1" x14ac:dyDescent="0.2"/>
    <row r="110" s="419" customFormat="1" x14ac:dyDescent="0.2"/>
    <row r="111" s="419" customFormat="1" x14ac:dyDescent="0.2"/>
    <row r="112" s="419" customFormat="1" x14ac:dyDescent="0.2"/>
    <row r="113" s="419" customFormat="1" x14ac:dyDescent="0.2"/>
    <row r="114" s="419" customFormat="1" x14ac:dyDescent="0.2"/>
    <row r="115" s="419" customFormat="1" x14ac:dyDescent="0.2"/>
    <row r="116" s="419" customFormat="1" x14ac:dyDescent="0.2"/>
    <row r="117" s="419" customFormat="1" x14ac:dyDescent="0.2"/>
    <row r="118" s="419" customFormat="1" x14ac:dyDescent="0.2"/>
    <row r="119" s="419" customFormat="1" x14ac:dyDescent="0.2"/>
    <row r="120" s="419" customFormat="1" x14ac:dyDescent="0.2"/>
    <row r="121" s="419" customFormat="1" x14ac:dyDescent="0.2"/>
    <row r="122" s="419" customFormat="1" x14ac:dyDescent="0.2"/>
    <row r="123" s="419" customFormat="1" x14ac:dyDescent="0.2"/>
    <row r="124" s="419" customFormat="1" x14ac:dyDescent="0.2"/>
    <row r="125" s="419" customFormat="1" x14ac:dyDescent="0.2"/>
    <row r="126" s="419" customFormat="1" x14ac:dyDescent="0.2"/>
    <row r="127" s="419" customFormat="1" x14ac:dyDescent="0.2"/>
    <row r="128" s="419" customFormat="1" x14ac:dyDescent="0.2"/>
    <row r="129" s="419" customFormat="1" x14ac:dyDescent="0.2"/>
    <row r="130" s="419" customFormat="1" x14ac:dyDescent="0.2"/>
    <row r="131" s="419" customFormat="1" x14ac:dyDescent="0.2"/>
    <row r="132" s="419" customFormat="1" x14ac:dyDescent="0.2"/>
    <row r="133" s="419" customFormat="1" x14ac:dyDescent="0.2"/>
    <row r="134" s="419" customFormat="1" x14ac:dyDescent="0.2"/>
    <row r="135" s="419" customFormat="1" x14ac:dyDescent="0.2"/>
    <row r="136" s="419" customFormat="1" x14ac:dyDescent="0.2"/>
    <row r="137" s="419" customFormat="1" x14ac:dyDescent="0.2"/>
    <row r="138" s="419" customFormat="1" x14ac:dyDescent="0.2"/>
    <row r="139" s="419" customFormat="1" x14ac:dyDescent="0.2"/>
    <row r="140" s="419" customFormat="1" x14ac:dyDescent="0.2"/>
    <row r="141" s="419" customFormat="1" x14ac:dyDescent="0.2"/>
    <row r="142" s="419" customFormat="1" x14ac:dyDescent="0.2"/>
    <row r="143" s="419" customFormat="1" x14ac:dyDescent="0.2"/>
    <row r="144" s="419" customFormat="1" x14ac:dyDescent="0.2"/>
    <row r="145" s="419" customFormat="1" x14ac:dyDescent="0.2"/>
    <row r="146" s="419" customFormat="1" x14ac:dyDescent="0.2"/>
    <row r="147" s="419" customFormat="1" x14ac:dyDescent="0.2"/>
    <row r="148" s="419" customFormat="1" x14ac:dyDescent="0.2"/>
    <row r="149" s="419" customFormat="1" x14ac:dyDescent="0.2"/>
    <row r="150" s="419" customFormat="1" x14ac:dyDescent="0.2"/>
    <row r="151" s="419" customFormat="1" x14ac:dyDescent="0.2"/>
    <row r="152" s="419" customFormat="1" x14ac:dyDescent="0.2"/>
    <row r="153" s="419" customFormat="1" x14ac:dyDescent="0.2"/>
    <row r="154" s="419" customFormat="1" x14ac:dyDescent="0.2"/>
    <row r="155" s="419" customFormat="1" x14ac:dyDescent="0.2"/>
    <row r="156" s="419" customFormat="1" x14ac:dyDescent="0.2"/>
    <row r="157" s="419" customFormat="1" x14ac:dyDescent="0.2"/>
    <row r="158" s="419" customFormat="1" x14ac:dyDescent="0.2"/>
    <row r="159" s="419" customFormat="1" x14ac:dyDescent="0.2"/>
    <row r="160" s="419" customFormat="1" x14ac:dyDescent="0.2"/>
    <row r="161" s="419" customFormat="1" x14ac:dyDescent="0.2"/>
    <row r="162" s="419" customFormat="1" x14ac:dyDescent="0.2"/>
    <row r="163" s="419" customFormat="1" x14ac:dyDescent="0.2"/>
    <row r="164" s="419" customFormat="1" x14ac:dyDescent="0.2"/>
    <row r="165" s="419" customFormat="1" x14ac:dyDescent="0.2"/>
    <row r="166" s="419" customFormat="1" x14ac:dyDescent="0.2"/>
    <row r="167" s="419" customFormat="1" x14ac:dyDescent="0.2"/>
    <row r="168" s="419" customFormat="1" x14ac:dyDescent="0.2"/>
    <row r="169" s="419" customFormat="1" x14ac:dyDescent="0.2"/>
    <row r="170" s="419" customFormat="1" x14ac:dyDescent="0.2"/>
    <row r="171" s="419" customFormat="1" x14ac:dyDescent="0.2"/>
    <row r="172" s="419" customFormat="1" x14ac:dyDescent="0.2"/>
    <row r="173" s="419" customFormat="1" x14ac:dyDescent="0.2"/>
    <row r="174" s="419" customFormat="1" x14ac:dyDescent="0.2"/>
    <row r="175" s="419" customFormat="1" x14ac:dyDescent="0.2"/>
    <row r="176" s="419" customFormat="1" x14ac:dyDescent="0.2"/>
    <row r="177" s="419" customFormat="1" x14ac:dyDescent="0.2"/>
    <row r="178" s="419" customFormat="1" x14ac:dyDescent="0.2"/>
    <row r="179" s="419" customFormat="1" x14ac:dyDescent="0.2"/>
    <row r="180" s="419" customFormat="1" x14ac:dyDescent="0.2"/>
    <row r="181" s="419" customFormat="1" x14ac:dyDescent="0.2"/>
    <row r="182" s="419" customFormat="1" x14ac:dyDescent="0.2"/>
    <row r="183" s="419" customFormat="1" x14ac:dyDescent="0.2"/>
    <row r="184" s="419" customFormat="1" x14ac:dyDescent="0.2"/>
    <row r="185" s="419" customFormat="1" x14ac:dyDescent="0.2"/>
    <row r="186" s="419" customFormat="1" x14ac:dyDescent="0.2"/>
    <row r="187" s="419" customFormat="1" x14ac:dyDescent="0.2"/>
    <row r="188" s="419" customFormat="1" x14ac:dyDescent="0.2"/>
    <row r="189" s="419" customFormat="1" x14ac:dyDescent="0.2"/>
    <row r="190" s="419" customFormat="1" x14ac:dyDescent="0.2"/>
    <row r="191" s="419" customFormat="1" x14ac:dyDescent="0.2"/>
    <row r="192" s="419" customFormat="1" x14ac:dyDescent="0.2"/>
    <row r="193" s="419" customFormat="1" x14ac:dyDescent="0.2"/>
    <row r="194" s="419" customFormat="1" x14ac:dyDescent="0.2"/>
    <row r="195" s="419" customFormat="1" x14ac:dyDescent="0.2"/>
    <row r="196" s="419" customFormat="1" x14ac:dyDescent="0.2"/>
    <row r="197" s="419" customFormat="1" x14ac:dyDescent="0.2"/>
    <row r="198" s="419" customFormat="1" x14ac:dyDescent="0.2"/>
    <row r="199" s="419" customFormat="1" x14ac:dyDescent="0.2"/>
    <row r="200" s="419" customFormat="1" x14ac:dyDescent="0.2"/>
    <row r="201" s="419" customFormat="1" x14ac:dyDescent="0.2"/>
    <row r="202" s="419" customFormat="1" x14ac:dyDescent="0.2"/>
    <row r="203" s="419" customFormat="1" x14ac:dyDescent="0.2"/>
    <row r="204" s="419" customFormat="1" x14ac:dyDescent="0.2"/>
    <row r="205" s="419" customFormat="1" x14ac:dyDescent="0.2"/>
    <row r="206" s="419" customFormat="1" x14ac:dyDescent="0.2"/>
    <row r="207" s="419" customFormat="1" x14ac:dyDescent="0.2"/>
    <row r="208" s="419" customFormat="1" x14ac:dyDescent="0.2"/>
    <row r="209" s="419" customFormat="1" x14ac:dyDescent="0.2"/>
    <row r="210" s="419" customFormat="1" x14ac:dyDescent="0.2"/>
    <row r="211" s="419" customFormat="1" x14ac:dyDescent="0.2"/>
    <row r="212" s="419" customFormat="1" x14ac:dyDescent="0.2"/>
    <row r="213" s="419" customFormat="1" x14ac:dyDescent="0.2"/>
    <row r="214" s="419" customFormat="1" x14ac:dyDescent="0.2"/>
    <row r="215" s="419" customFormat="1" x14ac:dyDescent="0.2"/>
    <row r="216" s="419" customFormat="1" x14ac:dyDescent="0.2"/>
    <row r="217" s="419" customFormat="1" x14ac:dyDescent="0.2"/>
    <row r="218" s="419" customFormat="1" x14ac:dyDescent="0.2"/>
    <row r="219" s="419" customFormat="1" x14ac:dyDescent="0.2"/>
    <row r="220" s="419" customFormat="1" x14ac:dyDescent="0.2"/>
    <row r="221" s="419" customFormat="1" x14ac:dyDescent="0.2"/>
    <row r="222" s="419" customFormat="1" x14ac:dyDescent="0.2"/>
    <row r="223" s="419" customFormat="1" x14ac:dyDescent="0.2"/>
    <row r="224" s="419" customFormat="1" x14ac:dyDescent="0.2"/>
    <row r="225" s="419" customFormat="1" x14ac:dyDescent="0.2"/>
    <row r="226" s="419" customFormat="1" x14ac:dyDescent="0.2"/>
    <row r="227" s="419" customFormat="1" x14ac:dyDescent="0.2"/>
    <row r="228" s="419" customFormat="1" x14ac:dyDescent="0.2"/>
    <row r="229" s="419" customFormat="1" x14ac:dyDescent="0.2"/>
    <row r="230" s="419" customFormat="1" x14ac:dyDescent="0.2"/>
    <row r="231" s="419" customFormat="1" x14ac:dyDescent="0.2"/>
    <row r="232" s="419" customFormat="1" x14ac:dyDescent="0.2"/>
    <row r="233" s="419" customFormat="1" x14ac:dyDescent="0.2"/>
    <row r="234" s="419" customFormat="1" x14ac:dyDescent="0.2"/>
    <row r="235" s="419" customFormat="1" x14ac:dyDescent="0.2"/>
    <row r="236" s="419" customFormat="1" x14ac:dyDescent="0.2"/>
    <row r="237" s="419" customFormat="1" x14ac:dyDescent="0.2"/>
    <row r="238" s="419" customFormat="1" x14ac:dyDescent="0.2"/>
    <row r="239" s="419" customFormat="1" x14ac:dyDescent="0.2"/>
    <row r="240" s="419" customFormat="1" x14ac:dyDescent="0.2"/>
    <row r="241" s="419" customFormat="1" x14ac:dyDescent="0.2"/>
    <row r="242" s="419" customFormat="1" x14ac:dyDescent="0.2"/>
    <row r="243" s="419" customFormat="1" x14ac:dyDescent="0.2"/>
    <row r="244" s="419" customFormat="1" x14ac:dyDescent="0.2"/>
    <row r="245" s="419" customFormat="1" x14ac:dyDescent="0.2"/>
    <row r="246" s="419" customFormat="1" x14ac:dyDescent="0.2"/>
    <row r="247" s="419" customFormat="1" x14ac:dyDescent="0.2"/>
    <row r="248" s="419" customFormat="1" x14ac:dyDescent="0.2"/>
    <row r="249" s="419" customFormat="1" x14ac:dyDescent="0.2"/>
    <row r="250" s="419" customFormat="1" x14ac:dyDescent="0.2"/>
    <row r="251" s="419" customFormat="1" x14ac:dyDescent="0.2"/>
    <row r="252" s="419" customFormat="1" x14ac:dyDescent="0.2"/>
    <row r="253" s="419" customFormat="1" x14ac:dyDescent="0.2"/>
    <row r="254" s="419" customFormat="1" x14ac:dyDescent="0.2"/>
    <row r="255" s="419" customFormat="1" x14ac:dyDescent="0.2"/>
    <row r="256" s="419" customFormat="1" x14ac:dyDescent="0.2"/>
    <row r="257" s="419" customFormat="1" x14ac:dyDescent="0.2"/>
    <row r="258" s="419" customFormat="1" x14ac:dyDescent="0.2"/>
    <row r="259" s="419" customFormat="1" x14ac:dyDescent="0.2"/>
    <row r="260" s="419" customFormat="1" x14ac:dyDescent="0.2"/>
    <row r="261" s="419" customFormat="1" x14ac:dyDescent="0.2"/>
    <row r="262" s="419" customFormat="1" x14ac:dyDescent="0.2"/>
    <row r="263" s="419" customFormat="1" x14ac:dyDescent="0.2"/>
    <row r="264" s="419" customFormat="1" x14ac:dyDescent="0.2"/>
    <row r="265" s="419" customFormat="1" x14ac:dyDescent="0.2"/>
    <row r="266" s="419" customFormat="1" x14ac:dyDescent="0.2"/>
    <row r="267" s="419" customFormat="1" x14ac:dyDescent="0.2"/>
    <row r="268" s="419" customFormat="1" x14ac:dyDescent="0.2"/>
    <row r="269" s="419" customFormat="1" x14ac:dyDescent="0.2"/>
    <row r="270" s="419" customFormat="1" x14ac:dyDescent="0.2"/>
    <row r="271" s="419" customFormat="1" x14ac:dyDescent="0.2"/>
    <row r="272" s="419" customFormat="1" x14ac:dyDescent="0.2"/>
    <row r="273" s="419" customFormat="1" x14ac:dyDescent="0.2"/>
    <row r="274" s="419" customFormat="1" x14ac:dyDescent="0.2"/>
    <row r="275" s="419" customFormat="1" x14ac:dyDescent="0.2"/>
    <row r="276" s="419" customFormat="1" x14ac:dyDescent="0.2"/>
    <row r="277" s="419" customFormat="1" x14ac:dyDescent="0.2"/>
    <row r="278" s="419" customFormat="1" x14ac:dyDescent="0.2"/>
    <row r="279" s="419" customFormat="1" x14ac:dyDescent="0.2"/>
    <row r="280" s="419" customFormat="1" x14ac:dyDescent="0.2"/>
    <row r="281" s="419" customFormat="1" x14ac:dyDescent="0.2"/>
    <row r="282" s="419" customFormat="1" x14ac:dyDescent="0.2"/>
    <row r="283" s="419" customFormat="1" x14ac:dyDescent="0.2"/>
    <row r="284" s="419" customFormat="1" x14ac:dyDescent="0.2"/>
    <row r="285" s="419" customFormat="1" x14ac:dyDescent="0.2"/>
    <row r="286" s="419" customFormat="1" x14ac:dyDescent="0.2"/>
    <row r="287" s="419" customFormat="1" x14ac:dyDescent="0.2"/>
    <row r="288" s="419" customFormat="1" x14ac:dyDescent="0.2"/>
    <row r="289" s="419" customFormat="1" x14ac:dyDescent="0.2"/>
    <row r="290" s="419" customFormat="1" x14ac:dyDescent="0.2"/>
    <row r="291" s="419" customFormat="1" x14ac:dyDescent="0.2"/>
    <row r="292" s="419" customFormat="1" x14ac:dyDescent="0.2"/>
    <row r="293" s="419" customFormat="1" x14ac:dyDescent="0.2"/>
    <row r="294" s="419" customFormat="1" x14ac:dyDescent="0.2"/>
    <row r="295" s="419" customFormat="1" x14ac:dyDescent="0.2"/>
    <row r="296" s="419" customFormat="1" x14ac:dyDescent="0.2"/>
    <row r="297" s="419" customFormat="1" x14ac:dyDescent="0.2"/>
    <row r="298" s="419" customFormat="1" x14ac:dyDescent="0.2"/>
    <row r="299" s="419" customFormat="1" x14ac:dyDescent="0.2"/>
    <row r="300" s="419" customFormat="1" x14ac:dyDescent="0.2"/>
    <row r="301" s="419" customFormat="1" x14ac:dyDescent="0.2"/>
    <row r="302" s="419" customFormat="1" x14ac:dyDescent="0.2"/>
    <row r="303" s="419" customFormat="1" x14ac:dyDescent="0.2"/>
    <row r="304" s="419" customFormat="1" x14ac:dyDescent="0.2"/>
    <row r="305" s="419" customFormat="1" x14ac:dyDescent="0.2"/>
    <row r="306" s="419" customFormat="1" x14ac:dyDescent="0.2"/>
    <row r="307" s="419" customFormat="1" x14ac:dyDescent="0.2"/>
    <row r="308" s="419" customFormat="1" x14ac:dyDescent="0.2"/>
    <row r="309" s="419" customFormat="1" x14ac:dyDescent="0.2"/>
    <row r="310" s="419" customFormat="1" x14ac:dyDescent="0.2"/>
    <row r="311" s="419" customFormat="1" x14ac:dyDescent="0.2"/>
    <row r="312" s="419" customFormat="1" x14ac:dyDescent="0.2"/>
    <row r="313" s="419" customFormat="1" x14ac:dyDescent="0.2"/>
    <row r="314" s="419" customFormat="1" x14ac:dyDescent="0.2"/>
    <row r="315" s="419" customFormat="1" x14ac:dyDescent="0.2"/>
    <row r="316" s="419" customFormat="1" x14ac:dyDescent="0.2"/>
    <row r="317" s="419" customFormat="1" x14ac:dyDescent="0.2"/>
    <row r="318" s="419" customFormat="1" x14ac:dyDescent="0.2"/>
    <row r="319" s="419" customFormat="1" x14ac:dyDescent="0.2"/>
    <row r="320" s="419" customFormat="1" x14ac:dyDescent="0.2"/>
    <row r="321" s="419" customFormat="1" x14ac:dyDescent="0.2"/>
    <row r="322" s="419" customFormat="1" x14ac:dyDescent="0.2"/>
    <row r="323" s="419" customFormat="1" x14ac:dyDescent="0.2"/>
    <row r="324" s="419" customFormat="1" x14ac:dyDescent="0.2"/>
    <row r="325" s="419" customFormat="1" x14ac:dyDescent="0.2"/>
    <row r="326" s="419" customFormat="1" x14ac:dyDescent="0.2"/>
    <row r="327" s="419" customFormat="1" x14ac:dyDescent="0.2"/>
    <row r="328" s="419" customFormat="1" x14ac:dyDescent="0.2"/>
    <row r="329" s="419" customFormat="1" x14ac:dyDescent="0.2"/>
    <row r="330" s="419" customFormat="1" x14ac:dyDescent="0.2"/>
    <row r="331" s="419" customFormat="1" x14ac:dyDescent="0.2"/>
    <row r="332" s="419" customFormat="1" x14ac:dyDescent="0.2"/>
    <row r="333" s="419" customFormat="1" x14ac:dyDescent="0.2"/>
    <row r="334" s="419" customFormat="1" x14ac:dyDescent="0.2"/>
    <row r="335" s="419" customFormat="1" x14ac:dyDescent="0.2"/>
    <row r="336" s="419" customFormat="1" x14ac:dyDescent="0.2"/>
  </sheetData>
  <mergeCells count="5">
    <mergeCell ref="B2:C2"/>
    <mergeCell ref="B3:C3"/>
    <mergeCell ref="B4:C4"/>
    <mergeCell ref="B7:C7"/>
    <mergeCell ref="A27:C27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105" orientation="portrait" r:id="rId1"/>
  <headerFooter alignWithMargins="0"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N392"/>
  <sheetViews>
    <sheetView showGridLines="0" view="pageBreakPreview" topLeftCell="A9" zoomScale="80" zoomScaleNormal="100" zoomScaleSheetLayoutView="80" workbookViewId="0">
      <selection activeCell="B7" sqref="B7"/>
    </sheetView>
  </sheetViews>
  <sheetFormatPr defaultRowHeight="12.75" x14ac:dyDescent="0.2"/>
  <cols>
    <col min="1" max="1" width="8.7109375" style="422" customWidth="1"/>
    <col min="2" max="2" width="57.7109375" style="422" customWidth="1"/>
    <col min="3" max="3" width="13.42578125" style="422" customWidth="1"/>
    <col min="4" max="4" width="11.140625" style="422" customWidth="1"/>
    <col min="5" max="5" width="12.85546875" style="419" bestFit="1" customWidth="1"/>
    <col min="6" max="40" width="9.140625" style="419"/>
    <col min="41" max="256" width="9.140625" style="422"/>
    <col min="257" max="257" width="8.7109375" style="422" customWidth="1"/>
    <col min="258" max="258" width="57.7109375" style="422" customWidth="1"/>
    <col min="259" max="259" width="13.42578125" style="422" customWidth="1"/>
    <col min="260" max="260" width="11.140625" style="422" customWidth="1"/>
    <col min="261" max="261" width="12.85546875" style="422" bestFit="1" customWidth="1"/>
    <col min="262" max="512" width="9.140625" style="422"/>
    <col min="513" max="513" width="8.7109375" style="422" customWidth="1"/>
    <col min="514" max="514" width="57.7109375" style="422" customWidth="1"/>
    <col min="515" max="515" width="13.42578125" style="422" customWidth="1"/>
    <col min="516" max="516" width="11.140625" style="422" customWidth="1"/>
    <col min="517" max="517" width="12.85546875" style="422" bestFit="1" customWidth="1"/>
    <col min="518" max="768" width="9.140625" style="422"/>
    <col min="769" max="769" width="8.7109375" style="422" customWidth="1"/>
    <col min="770" max="770" width="57.7109375" style="422" customWidth="1"/>
    <col min="771" max="771" width="13.42578125" style="422" customWidth="1"/>
    <col min="772" max="772" width="11.140625" style="422" customWidth="1"/>
    <col min="773" max="773" width="12.85546875" style="422" bestFit="1" customWidth="1"/>
    <col min="774" max="1024" width="9.140625" style="422"/>
    <col min="1025" max="1025" width="8.7109375" style="422" customWidth="1"/>
    <col min="1026" max="1026" width="57.7109375" style="422" customWidth="1"/>
    <col min="1027" max="1027" width="13.42578125" style="422" customWidth="1"/>
    <col min="1028" max="1028" width="11.140625" style="422" customWidth="1"/>
    <col min="1029" max="1029" width="12.85546875" style="422" bestFit="1" customWidth="1"/>
    <col min="1030" max="1280" width="9.140625" style="422"/>
    <col min="1281" max="1281" width="8.7109375" style="422" customWidth="1"/>
    <col min="1282" max="1282" width="57.7109375" style="422" customWidth="1"/>
    <col min="1283" max="1283" width="13.42578125" style="422" customWidth="1"/>
    <col min="1284" max="1284" width="11.140625" style="422" customWidth="1"/>
    <col min="1285" max="1285" width="12.85546875" style="422" bestFit="1" customWidth="1"/>
    <col min="1286" max="1536" width="9.140625" style="422"/>
    <col min="1537" max="1537" width="8.7109375" style="422" customWidth="1"/>
    <col min="1538" max="1538" width="57.7109375" style="422" customWidth="1"/>
    <col min="1539" max="1539" width="13.42578125" style="422" customWidth="1"/>
    <col min="1540" max="1540" width="11.140625" style="422" customWidth="1"/>
    <col min="1541" max="1541" width="12.85546875" style="422" bestFit="1" customWidth="1"/>
    <col min="1542" max="1792" width="9.140625" style="422"/>
    <col min="1793" max="1793" width="8.7109375" style="422" customWidth="1"/>
    <col min="1794" max="1794" width="57.7109375" style="422" customWidth="1"/>
    <col min="1795" max="1795" width="13.42578125" style="422" customWidth="1"/>
    <col min="1796" max="1796" width="11.140625" style="422" customWidth="1"/>
    <col min="1797" max="1797" width="12.85546875" style="422" bestFit="1" customWidth="1"/>
    <col min="1798" max="2048" width="9.140625" style="422"/>
    <col min="2049" max="2049" width="8.7109375" style="422" customWidth="1"/>
    <col min="2050" max="2050" width="57.7109375" style="422" customWidth="1"/>
    <col min="2051" max="2051" width="13.42578125" style="422" customWidth="1"/>
    <col min="2052" max="2052" width="11.140625" style="422" customWidth="1"/>
    <col min="2053" max="2053" width="12.85546875" style="422" bestFit="1" customWidth="1"/>
    <col min="2054" max="2304" width="9.140625" style="422"/>
    <col min="2305" max="2305" width="8.7109375" style="422" customWidth="1"/>
    <col min="2306" max="2306" width="57.7109375" style="422" customWidth="1"/>
    <col min="2307" max="2307" width="13.42578125" style="422" customWidth="1"/>
    <col min="2308" max="2308" width="11.140625" style="422" customWidth="1"/>
    <col min="2309" max="2309" width="12.85546875" style="422" bestFit="1" customWidth="1"/>
    <col min="2310" max="2560" width="9.140625" style="422"/>
    <col min="2561" max="2561" width="8.7109375" style="422" customWidth="1"/>
    <col min="2562" max="2562" width="57.7109375" style="422" customWidth="1"/>
    <col min="2563" max="2563" width="13.42578125" style="422" customWidth="1"/>
    <col min="2564" max="2564" width="11.140625" style="422" customWidth="1"/>
    <col min="2565" max="2565" width="12.85546875" style="422" bestFit="1" customWidth="1"/>
    <col min="2566" max="2816" width="9.140625" style="422"/>
    <col min="2817" max="2817" width="8.7109375" style="422" customWidth="1"/>
    <col min="2818" max="2818" width="57.7109375" style="422" customWidth="1"/>
    <col min="2819" max="2819" width="13.42578125" style="422" customWidth="1"/>
    <col min="2820" max="2820" width="11.140625" style="422" customWidth="1"/>
    <col min="2821" max="2821" width="12.85546875" style="422" bestFit="1" customWidth="1"/>
    <col min="2822" max="3072" width="9.140625" style="422"/>
    <col min="3073" max="3073" width="8.7109375" style="422" customWidth="1"/>
    <col min="3074" max="3074" width="57.7109375" style="422" customWidth="1"/>
    <col min="3075" max="3075" width="13.42578125" style="422" customWidth="1"/>
    <col min="3076" max="3076" width="11.140625" style="422" customWidth="1"/>
    <col min="3077" max="3077" width="12.85546875" style="422" bestFit="1" customWidth="1"/>
    <col min="3078" max="3328" width="9.140625" style="422"/>
    <col min="3329" max="3329" width="8.7109375" style="422" customWidth="1"/>
    <col min="3330" max="3330" width="57.7109375" style="422" customWidth="1"/>
    <col min="3331" max="3331" width="13.42578125" style="422" customWidth="1"/>
    <col min="3332" max="3332" width="11.140625" style="422" customWidth="1"/>
    <col min="3333" max="3333" width="12.85546875" style="422" bestFit="1" customWidth="1"/>
    <col min="3334" max="3584" width="9.140625" style="422"/>
    <col min="3585" max="3585" width="8.7109375" style="422" customWidth="1"/>
    <col min="3586" max="3586" width="57.7109375" style="422" customWidth="1"/>
    <col min="3587" max="3587" width="13.42578125" style="422" customWidth="1"/>
    <col min="3588" max="3588" width="11.140625" style="422" customWidth="1"/>
    <col min="3589" max="3589" width="12.85546875" style="422" bestFit="1" customWidth="1"/>
    <col min="3590" max="3840" width="9.140625" style="422"/>
    <col min="3841" max="3841" width="8.7109375" style="422" customWidth="1"/>
    <col min="3842" max="3842" width="57.7109375" style="422" customWidth="1"/>
    <col min="3843" max="3843" width="13.42578125" style="422" customWidth="1"/>
    <col min="3844" max="3844" width="11.140625" style="422" customWidth="1"/>
    <col min="3845" max="3845" width="12.85546875" style="422" bestFit="1" customWidth="1"/>
    <col min="3846" max="4096" width="9.140625" style="422"/>
    <col min="4097" max="4097" width="8.7109375" style="422" customWidth="1"/>
    <col min="4098" max="4098" width="57.7109375" style="422" customWidth="1"/>
    <col min="4099" max="4099" width="13.42578125" style="422" customWidth="1"/>
    <col min="4100" max="4100" width="11.140625" style="422" customWidth="1"/>
    <col min="4101" max="4101" width="12.85546875" style="422" bestFit="1" customWidth="1"/>
    <col min="4102" max="4352" width="9.140625" style="422"/>
    <col min="4353" max="4353" width="8.7109375" style="422" customWidth="1"/>
    <col min="4354" max="4354" width="57.7109375" style="422" customWidth="1"/>
    <col min="4355" max="4355" width="13.42578125" style="422" customWidth="1"/>
    <col min="4356" max="4356" width="11.140625" style="422" customWidth="1"/>
    <col min="4357" max="4357" width="12.85546875" style="422" bestFit="1" customWidth="1"/>
    <col min="4358" max="4608" width="9.140625" style="422"/>
    <col min="4609" max="4609" width="8.7109375" style="422" customWidth="1"/>
    <col min="4610" max="4610" width="57.7109375" style="422" customWidth="1"/>
    <col min="4611" max="4611" width="13.42578125" style="422" customWidth="1"/>
    <col min="4612" max="4612" width="11.140625" style="422" customWidth="1"/>
    <col min="4613" max="4613" width="12.85546875" style="422" bestFit="1" customWidth="1"/>
    <col min="4614" max="4864" width="9.140625" style="422"/>
    <col min="4865" max="4865" width="8.7109375" style="422" customWidth="1"/>
    <col min="4866" max="4866" width="57.7109375" style="422" customWidth="1"/>
    <col min="4867" max="4867" width="13.42578125" style="422" customWidth="1"/>
    <col min="4868" max="4868" width="11.140625" style="422" customWidth="1"/>
    <col min="4869" max="4869" width="12.85546875" style="422" bestFit="1" customWidth="1"/>
    <col min="4870" max="5120" width="9.140625" style="422"/>
    <col min="5121" max="5121" width="8.7109375" style="422" customWidth="1"/>
    <col min="5122" max="5122" width="57.7109375" style="422" customWidth="1"/>
    <col min="5123" max="5123" width="13.42578125" style="422" customWidth="1"/>
    <col min="5124" max="5124" width="11.140625" style="422" customWidth="1"/>
    <col min="5125" max="5125" width="12.85546875" style="422" bestFit="1" customWidth="1"/>
    <col min="5126" max="5376" width="9.140625" style="422"/>
    <col min="5377" max="5377" width="8.7109375" style="422" customWidth="1"/>
    <col min="5378" max="5378" width="57.7109375" style="422" customWidth="1"/>
    <col min="5379" max="5379" width="13.42578125" style="422" customWidth="1"/>
    <col min="5380" max="5380" width="11.140625" style="422" customWidth="1"/>
    <col min="5381" max="5381" width="12.85546875" style="422" bestFit="1" customWidth="1"/>
    <col min="5382" max="5632" width="9.140625" style="422"/>
    <col min="5633" max="5633" width="8.7109375" style="422" customWidth="1"/>
    <col min="5634" max="5634" width="57.7109375" style="422" customWidth="1"/>
    <col min="5635" max="5635" width="13.42578125" style="422" customWidth="1"/>
    <col min="5636" max="5636" width="11.140625" style="422" customWidth="1"/>
    <col min="5637" max="5637" width="12.85546875" style="422" bestFit="1" customWidth="1"/>
    <col min="5638" max="5888" width="9.140625" style="422"/>
    <col min="5889" max="5889" width="8.7109375" style="422" customWidth="1"/>
    <col min="5890" max="5890" width="57.7109375" style="422" customWidth="1"/>
    <col min="5891" max="5891" width="13.42578125" style="422" customWidth="1"/>
    <col min="5892" max="5892" width="11.140625" style="422" customWidth="1"/>
    <col min="5893" max="5893" width="12.85546875" style="422" bestFit="1" customWidth="1"/>
    <col min="5894" max="6144" width="9.140625" style="422"/>
    <col min="6145" max="6145" width="8.7109375" style="422" customWidth="1"/>
    <col min="6146" max="6146" width="57.7109375" style="422" customWidth="1"/>
    <col min="6147" max="6147" width="13.42578125" style="422" customWidth="1"/>
    <col min="6148" max="6148" width="11.140625" style="422" customWidth="1"/>
    <col min="6149" max="6149" width="12.85546875" style="422" bestFit="1" customWidth="1"/>
    <col min="6150" max="6400" width="9.140625" style="422"/>
    <col min="6401" max="6401" width="8.7109375" style="422" customWidth="1"/>
    <col min="6402" max="6402" width="57.7109375" style="422" customWidth="1"/>
    <col min="6403" max="6403" width="13.42578125" style="422" customWidth="1"/>
    <col min="6404" max="6404" width="11.140625" style="422" customWidth="1"/>
    <col min="6405" max="6405" width="12.85546875" style="422" bestFit="1" customWidth="1"/>
    <col min="6406" max="6656" width="9.140625" style="422"/>
    <col min="6657" max="6657" width="8.7109375" style="422" customWidth="1"/>
    <col min="6658" max="6658" width="57.7109375" style="422" customWidth="1"/>
    <col min="6659" max="6659" width="13.42578125" style="422" customWidth="1"/>
    <col min="6660" max="6660" width="11.140625" style="422" customWidth="1"/>
    <col min="6661" max="6661" width="12.85546875" style="422" bestFit="1" customWidth="1"/>
    <col min="6662" max="6912" width="9.140625" style="422"/>
    <col min="6913" max="6913" width="8.7109375" style="422" customWidth="1"/>
    <col min="6914" max="6914" width="57.7109375" style="422" customWidth="1"/>
    <col min="6915" max="6915" width="13.42578125" style="422" customWidth="1"/>
    <col min="6916" max="6916" width="11.140625" style="422" customWidth="1"/>
    <col min="6917" max="6917" width="12.85546875" style="422" bestFit="1" customWidth="1"/>
    <col min="6918" max="7168" width="9.140625" style="422"/>
    <col min="7169" max="7169" width="8.7109375" style="422" customWidth="1"/>
    <col min="7170" max="7170" width="57.7109375" style="422" customWidth="1"/>
    <col min="7171" max="7171" width="13.42578125" style="422" customWidth="1"/>
    <col min="7172" max="7172" width="11.140625" style="422" customWidth="1"/>
    <col min="7173" max="7173" width="12.85546875" style="422" bestFit="1" customWidth="1"/>
    <col min="7174" max="7424" width="9.140625" style="422"/>
    <col min="7425" max="7425" width="8.7109375" style="422" customWidth="1"/>
    <col min="7426" max="7426" width="57.7109375" style="422" customWidth="1"/>
    <col min="7427" max="7427" width="13.42578125" style="422" customWidth="1"/>
    <col min="7428" max="7428" width="11.140625" style="422" customWidth="1"/>
    <col min="7429" max="7429" width="12.85546875" style="422" bestFit="1" customWidth="1"/>
    <col min="7430" max="7680" width="9.140625" style="422"/>
    <col min="7681" max="7681" width="8.7109375" style="422" customWidth="1"/>
    <col min="7682" max="7682" width="57.7109375" style="422" customWidth="1"/>
    <col min="7683" max="7683" width="13.42578125" style="422" customWidth="1"/>
    <col min="7684" max="7684" width="11.140625" style="422" customWidth="1"/>
    <col min="7685" max="7685" width="12.85546875" style="422" bestFit="1" customWidth="1"/>
    <col min="7686" max="7936" width="9.140625" style="422"/>
    <col min="7937" max="7937" width="8.7109375" style="422" customWidth="1"/>
    <col min="7938" max="7938" width="57.7109375" style="422" customWidth="1"/>
    <col min="7939" max="7939" width="13.42578125" style="422" customWidth="1"/>
    <col min="7940" max="7940" width="11.140625" style="422" customWidth="1"/>
    <col min="7941" max="7941" width="12.85546875" style="422" bestFit="1" customWidth="1"/>
    <col min="7942" max="8192" width="9.140625" style="422"/>
    <col min="8193" max="8193" width="8.7109375" style="422" customWidth="1"/>
    <col min="8194" max="8194" width="57.7109375" style="422" customWidth="1"/>
    <col min="8195" max="8195" width="13.42578125" style="422" customWidth="1"/>
    <col min="8196" max="8196" width="11.140625" style="422" customWidth="1"/>
    <col min="8197" max="8197" width="12.85546875" style="422" bestFit="1" customWidth="1"/>
    <col min="8198" max="8448" width="9.140625" style="422"/>
    <col min="8449" max="8449" width="8.7109375" style="422" customWidth="1"/>
    <col min="8450" max="8450" width="57.7109375" style="422" customWidth="1"/>
    <col min="8451" max="8451" width="13.42578125" style="422" customWidth="1"/>
    <col min="8452" max="8452" width="11.140625" style="422" customWidth="1"/>
    <col min="8453" max="8453" width="12.85546875" style="422" bestFit="1" customWidth="1"/>
    <col min="8454" max="8704" width="9.140625" style="422"/>
    <col min="8705" max="8705" width="8.7109375" style="422" customWidth="1"/>
    <col min="8706" max="8706" width="57.7109375" style="422" customWidth="1"/>
    <col min="8707" max="8707" width="13.42578125" style="422" customWidth="1"/>
    <col min="8708" max="8708" width="11.140625" style="422" customWidth="1"/>
    <col min="8709" max="8709" width="12.85546875" style="422" bestFit="1" customWidth="1"/>
    <col min="8710" max="8960" width="9.140625" style="422"/>
    <col min="8961" max="8961" width="8.7109375" style="422" customWidth="1"/>
    <col min="8962" max="8962" width="57.7109375" style="422" customWidth="1"/>
    <col min="8963" max="8963" width="13.42578125" style="422" customWidth="1"/>
    <col min="8964" max="8964" width="11.140625" style="422" customWidth="1"/>
    <col min="8965" max="8965" width="12.85546875" style="422" bestFit="1" customWidth="1"/>
    <col min="8966" max="9216" width="9.140625" style="422"/>
    <col min="9217" max="9217" width="8.7109375" style="422" customWidth="1"/>
    <col min="9218" max="9218" width="57.7109375" style="422" customWidth="1"/>
    <col min="9219" max="9219" width="13.42578125" style="422" customWidth="1"/>
    <col min="9220" max="9220" width="11.140625" style="422" customWidth="1"/>
    <col min="9221" max="9221" width="12.85546875" style="422" bestFit="1" customWidth="1"/>
    <col min="9222" max="9472" width="9.140625" style="422"/>
    <col min="9473" max="9473" width="8.7109375" style="422" customWidth="1"/>
    <col min="9474" max="9474" width="57.7109375" style="422" customWidth="1"/>
    <col min="9475" max="9475" width="13.42578125" style="422" customWidth="1"/>
    <col min="9476" max="9476" width="11.140625" style="422" customWidth="1"/>
    <col min="9477" max="9477" width="12.85546875" style="422" bestFit="1" customWidth="1"/>
    <col min="9478" max="9728" width="9.140625" style="422"/>
    <col min="9729" max="9729" width="8.7109375" style="422" customWidth="1"/>
    <col min="9730" max="9730" width="57.7109375" style="422" customWidth="1"/>
    <col min="9731" max="9731" width="13.42578125" style="422" customWidth="1"/>
    <col min="9732" max="9732" width="11.140625" style="422" customWidth="1"/>
    <col min="9733" max="9733" width="12.85546875" style="422" bestFit="1" customWidth="1"/>
    <col min="9734" max="9984" width="9.140625" style="422"/>
    <col min="9985" max="9985" width="8.7109375" style="422" customWidth="1"/>
    <col min="9986" max="9986" width="57.7109375" style="422" customWidth="1"/>
    <col min="9987" max="9987" width="13.42578125" style="422" customWidth="1"/>
    <col min="9988" max="9988" width="11.140625" style="422" customWidth="1"/>
    <col min="9989" max="9989" width="12.85546875" style="422" bestFit="1" customWidth="1"/>
    <col min="9990" max="10240" width="9.140625" style="422"/>
    <col min="10241" max="10241" width="8.7109375" style="422" customWidth="1"/>
    <col min="10242" max="10242" width="57.7109375" style="422" customWidth="1"/>
    <col min="10243" max="10243" width="13.42578125" style="422" customWidth="1"/>
    <col min="10244" max="10244" width="11.140625" style="422" customWidth="1"/>
    <col min="10245" max="10245" width="12.85546875" style="422" bestFit="1" customWidth="1"/>
    <col min="10246" max="10496" width="9.140625" style="422"/>
    <col min="10497" max="10497" width="8.7109375" style="422" customWidth="1"/>
    <col min="10498" max="10498" width="57.7109375" style="422" customWidth="1"/>
    <col min="10499" max="10499" width="13.42578125" style="422" customWidth="1"/>
    <col min="10500" max="10500" width="11.140625" style="422" customWidth="1"/>
    <col min="10501" max="10501" width="12.85546875" style="422" bestFit="1" customWidth="1"/>
    <col min="10502" max="10752" width="9.140625" style="422"/>
    <col min="10753" max="10753" width="8.7109375" style="422" customWidth="1"/>
    <col min="10754" max="10754" width="57.7109375" style="422" customWidth="1"/>
    <col min="10755" max="10755" width="13.42578125" style="422" customWidth="1"/>
    <col min="10756" max="10756" width="11.140625" style="422" customWidth="1"/>
    <col min="10757" max="10757" width="12.85546875" style="422" bestFit="1" customWidth="1"/>
    <col min="10758" max="11008" width="9.140625" style="422"/>
    <col min="11009" max="11009" width="8.7109375" style="422" customWidth="1"/>
    <col min="11010" max="11010" width="57.7109375" style="422" customWidth="1"/>
    <col min="11011" max="11011" width="13.42578125" style="422" customWidth="1"/>
    <col min="11012" max="11012" width="11.140625" style="422" customWidth="1"/>
    <col min="11013" max="11013" width="12.85546875" style="422" bestFit="1" customWidth="1"/>
    <col min="11014" max="11264" width="9.140625" style="422"/>
    <col min="11265" max="11265" width="8.7109375" style="422" customWidth="1"/>
    <col min="11266" max="11266" width="57.7109375" style="422" customWidth="1"/>
    <col min="11267" max="11267" width="13.42578125" style="422" customWidth="1"/>
    <col min="11268" max="11268" width="11.140625" style="422" customWidth="1"/>
    <col min="11269" max="11269" width="12.85546875" style="422" bestFit="1" customWidth="1"/>
    <col min="11270" max="11520" width="9.140625" style="422"/>
    <col min="11521" max="11521" width="8.7109375" style="422" customWidth="1"/>
    <col min="11522" max="11522" width="57.7109375" style="422" customWidth="1"/>
    <col min="11523" max="11523" width="13.42578125" style="422" customWidth="1"/>
    <col min="11524" max="11524" width="11.140625" style="422" customWidth="1"/>
    <col min="11525" max="11525" width="12.85546875" style="422" bestFit="1" customWidth="1"/>
    <col min="11526" max="11776" width="9.140625" style="422"/>
    <col min="11777" max="11777" width="8.7109375" style="422" customWidth="1"/>
    <col min="11778" max="11778" width="57.7109375" style="422" customWidth="1"/>
    <col min="11779" max="11779" width="13.42578125" style="422" customWidth="1"/>
    <col min="11780" max="11780" width="11.140625" style="422" customWidth="1"/>
    <col min="11781" max="11781" width="12.85546875" style="422" bestFit="1" customWidth="1"/>
    <col min="11782" max="12032" width="9.140625" style="422"/>
    <col min="12033" max="12033" width="8.7109375" style="422" customWidth="1"/>
    <col min="12034" max="12034" width="57.7109375" style="422" customWidth="1"/>
    <col min="12035" max="12035" width="13.42578125" style="422" customWidth="1"/>
    <col min="12036" max="12036" width="11.140625" style="422" customWidth="1"/>
    <col min="12037" max="12037" width="12.85546875" style="422" bestFit="1" customWidth="1"/>
    <col min="12038" max="12288" width="9.140625" style="422"/>
    <col min="12289" max="12289" width="8.7109375" style="422" customWidth="1"/>
    <col min="12290" max="12290" width="57.7109375" style="422" customWidth="1"/>
    <col min="12291" max="12291" width="13.42578125" style="422" customWidth="1"/>
    <col min="12292" max="12292" width="11.140625" style="422" customWidth="1"/>
    <col min="12293" max="12293" width="12.85546875" style="422" bestFit="1" customWidth="1"/>
    <col min="12294" max="12544" width="9.140625" style="422"/>
    <col min="12545" max="12545" width="8.7109375" style="422" customWidth="1"/>
    <col min="12546" max="12546" width="57.7109375" style="422" customWidth="1"/>
    <col min="12547" max="12547" width="13.42578125" style="422" customWidth="1"/>
    <col min="12548" max="12548" width="11.140625" style="422" customWidth="1"/>
    <col min="12549" max="12549" width="12.85546875" style="422" bestFit="1" customWidth="1"/>
    <col min="12550" max="12800" width="9.140625" style="422"/>
    <col min="12801" max="12801" width="8.7109375" style="422" customWidth="1"/>
    <col min="12802" max="12802" width="57.7109375" style="422" customWidth="1"/>
    <col min="12803" max="12803" width="13.42578125" style="422" customWidth="1"/>
    <col min="12804" max="12804" width="11.140625" style="422" customWidth="1"/>
    <col min="12805" max="12805" width="12.85546875" style="422" bestFit="1" customWidth="1"/>
    <col min="12806" max="13056" width="9.140625" style="422"/>
    <col min="13057" max="13057" width="8.7109375" style="422" customWidth="1"/>
    <col min="13058" max="13058" width="57.7109375" style="422" customWidth="1"/>
    <col min="13059" max="13059" width="13.42578125" style="422" customWidth="1"/>
    <col min="13060" max="13060" width="11.140625" style="422" customWidth="1"/>
    <col min="13061" max="13061" width="12.85546875" style="422" bestFit="1" customWidth="1"/>
    <col min="13062" max="13312" width="9.140625" style="422"/>
    <col min="13313" max="13313" width="8.7109375" style="422" customWidth="1"/>
    <col min="13314" max="13314" width="57.7109375" style="422" customWidth="1"/>
    <col min="13315" max="13315" width="13.42578125" style="422" customWidth="1"/>
    <col min="13316" max="13316" width="11.140625" style="422" customWidth="1"/>
    <col min="13317" max="13317" width="12.85546875" style="422" bestFit="1" customWidth="1"/>
    <col min="13318" max="13568" width="9.140625" style="422"/>
    <col min="13569" max="13569" width="8.7109375" style="422" customWidth="1"/>
    <col min="13570" max="13570" width="57.7109375" style="422" customWidth="1"/>
    <col min="13571" max="13571" width="13.42578125" style="422" customWidth="1"/>
    <col min="13572" max="13572" width="11.140625" style="422" customWidth="1"/>
    <col min="13573" max="13573" width="12.85546875" style="422" bestFit="1" customWidth="1"/>
    <col min="13574" max="13824" width="9.140625" style="422"/>
    <col min="13825" max="13825" width="8.7109375" style="422" customWidth="1"/>
    <col min="13826" max="13826" width="57.7109375" style="422" customWidth="1"/>
    <col min="13827" max="13827" width="13.42578125" style="422" customWidth="1"/>
    <col min="13828" max="13828" width="11.140625" style="422" customWidth="1"/>
    <col min="13829" max="13829" width="12.85546875" style="422" bestFit="1" customWidth="1"/>
    <col min="13830" max="14080" width="9.140625" style="422"/>
    <col min="14081" max="14081" width="8.7109375" style="422" customWidth="1"/>
    <col min="14082" max="14082" width="57.7109375" style="422" customWidth="1"/>
    <col min="14083" max="14083" width="13.42578125" style="422" customWidth="1"/>
    <col min="14084" max="14084" width="11.140625" style="422" customWidth="1"/>
    <col min="14085" max="14085" width="12.85546875" style="422" bestFit="1" customWidth="1"/>
    <col min="14086" max="14336" width="9.140625" style="422"/>
    <col min="14337" max="14337" width="8.7109375" style="422" customWidth="1"/>
    <col min="14338" max="14338" width="57.7109375" style="422" customWidth="1"/>
    <col min="14339" max="14339" width="13.42578125" style="422" customWidth="1"/>
    <col min="14340" max="14340" width="11.140625" style="422" customWidth="1"/>
    <col min="14341" max="14341" width="12.85546875" style="422" bestFit="1" customWidth="1"/>
    <col min="14342" max="14592" width="9.140625" style="422"/>
    <col min="14593" max="14593" width="8.7109375" style="422" customWidth="1"/>
    <col min="14594" max="14594" width="57.7109375" style="422" customWidth="1"/>
    <col min="14595" max="14595" width="13.42578125" style="422" customWidth="1"/>
    <col min="14596" max="14596" width="11.140625" style="422" customWidth="1"/>
    <col min="14597" max="14597" width="12.85546875" style="422" bestFit="1" customWidth="1"/>
    <col min="14598" max="14848" width="9.140625" style="422"/>
    <col min="14849" max="14849" width="8.7109375" style="422" customWidth="1"/>
    <col min="14850" max="14850" width="57.7109375" style="422" customWidth="1"/>
    <col min="14851" max="14851" width="13.42578125" style="422" customWidth="1"/>
    <col min="14852" max="14852" width="11.140625" style="422" customWidth="1"/>
    <col min="14853" max="14853" width="12.85546875" style="422" bestFit="1" customWidth="1"/>
    <col min="14854" max="15104" width="9.140625" style="422"/>
    <col min="15105" max="15105" width="8.7109375" style="422" customWidth="1"/>
    <col min="15106" max="15106" width="57.7109375" style="422" customWidth="1"/>
    <col min="15107" max="15107" width="13.42578125" style="422" customWidth="1"/>
    <col min="15108" max="15108" width="11.140625" style="422" customWidth="1"/>
    <col min="15109" max="15109" width="12.85546875" style="422" bestFit="1" customWidth="1"/>
    <col min="15110" max="15360" width="9.140625" style="422"/>
    <col min="15361" max="15361" width="8.7109375" style="422" customWidth="1"/>
    <col min="15362" max="15362" width="57.7109375" style="422" customWidth="1"/>
    <col min="15363" max="15363" width="13.42578125" style="422" customWidth="1"/>
    <col min="15364" max="15364" width="11.140625" style="422" customWidth="1"/>
    <col min="15365" max="15365" width="12.85546875" style="422" bestFit="1" customWidth="1"/>
    <col min="15366" max="15616" width="9.140625" style="422"/>
    <col min="15617" max="15617" width="8.7109375" style="422" customWidth="1"/>
    <col min="15618" max="15618" width="57.7109375" style="422" customWidth="1"/>
    <col min="15619" max="15619" width="13.42578125" style="422" customWidth="1"/>
    <col min="15620" max="15620" width="11.140625" style="422" customWidth="1"/>
    <col min="15621" max="15621" width="12.85546875" style="422" bestFit="1" customWidth="1"/>
    <col min="15622" max="15872" width="9.140625" style="422"/>
    <col min="15873" max="15873" width="8.7109375" style="422" customWidth="1"/>
    <col min="15874" max="15874" width="57.7109375" style="422" customWidth="1"/>
    <col min="15875" max="15875" width="13.42578125" style="422" customWidth="1"/>
    <col min="15876" max="15876" width="11.140625" style="422" customWidth="1"/>
    <col min="15877" max="15877" width="12.85546875" style="422" bestFit="1" customWidth="1"/>
    <col min="15878" max="16128" width="9.140625" style="422"/>
    <col min="16129" max="16129" width="8.7109375" style="422" customWidth="1"/>
    <col min="16130" max="16130" width="57.7109375" style="422" customWidth="1"/>
    <col min="16131" max="16131" width="13.42578125" style="422" customWidth="1"/>
    <col min="16132" max="16132" width="11.140625" style="422" customWidth="1"/>
    <col min="16133" max="16133" width="12.85546875" style="422" bestFit="1" customWidth="1"/>
    <col min="16134" max="16384" width="9.140625" style="422"/>
  </cols>
  <sheetData>
    <row r="1" spans="1:4" x14ac:dyDescent="0.2">
      <c r="A1" s="419"/>
      <c r="B1" s="419"/>
      <c r="C1" s="419"/>
      <c r="D1" s="419"/>
    </row>
    <row r="2" spans="1:4" x14ac:dyDescent="0.2">
      <c r="A2" s="449"/>
      <c r="B2" s="649" t="str">
        <f>BDI!B2</f>
        <v>CASSIANO ARQUITETOS</v>
      </c>
      <c r="C2" s="649"/>
      <c r="D2" s="418"/>
    </row>
    <row r="3" spans="1:4" x14ac:dyDescent="0.2">
      <c r="A3" s="420"/>
      <c r="B3" s="642"/>
      <c r="C3" s="642"/>
      <c r="D3" s="450"/>
    </row>
    <row r="4" spans="1:4" x14ac:dyDescent="0.2">
      <c r="A4" s="420"/>
      <c r="B4" s="650" t="s">
        <v>195</v>
      </c>
      <c r="C4" s="650"/>
      <c r="D4" s="450"/>
    </row>
    <row r="5" spans="1:4" x14ac:dyDescent="0.2">
      <c r="A5" s="420"/>
      <c r="D5" s="451"/>
    </row>
    <row r="6" spans="1:4" ht="13.5" thickBot="1" x14ac:dyDescent="0.25">
      <c r="A6" s="421"/>
      <c r="B6" s="452" t="s">
        <v>955</v>
      </c>
      <c r="C6" s="452"/>
      <c r="D6" s="453"/>
    </row>
    <row r="7" spans="1:4" x14ac:dyDescent="0.2">
      <c r="A7" s="454" t="s">
        <v>169</v>
      </c>
      <c r="B7" s="455" t="s">
        <v>196</v>
      </c>
      <c r="C7" s="456" t="s">
        <v>197</v>
      </c>
      <c r="D7" s="457" t="s">
        <v>198</v>
      </c>
    </row>
    <row r="8" spans="1:4" x14ac:dyDescent="0.2">
      <c r="A8" s="458" t="s">
        <v>199</v>
      </c>
      <c r="B8" s="459" t="s">
        <v>200</v>
      </c>
      <c r="C8" s="460"/>
      <c r="D8" s="461"/>
    </row>
    <row r="9" spans="1:4" x14ac:dyDescent="0.2">
      <c r="A9" s="462" t="s">
        <v>201</v>
      </c>
      <c r="B9" s="463" t="s">
        <v>202</v>
      </c>
      <c r="C9" s="464">
        <v>0.2</v>
      </c>
      <c r="D9" s="465">
        <v>0.2</v>
      </c>
    </row>
    <row r="10" spans="1:4" x14ac:dyDescent="0.2">
      <c r="A10" s="466" t="s">
        <v>203</v>
      </c>
      <c r="B10" s="467" t="s">
        <v>204</v>
      </c>
      <c r="C10" s="468">
        <v>1.4999999999999999E-2</v>
      </c>
      <c r="D10" s="469">
        <v>1.4999999999999999E-2</v>
      </c>
    </row>
    <row r="11" spans="1:4" x14ac:dyDescent="0.2">
      <c r="A11" s="462" t="s">
        <v>205</v>
      </c>
      <c r="B11" s="463" t="s">
        <v>206</v>
      </c>
      <c r="C11" s="464">
        <v>0.01</v>
      </c>
      <c r="D11" s="465">
        <v>0.01</v>
      </c>
    </row>
    <row r="12" spans="1:4" x14ac:dyDescent="0.2">
      <c r="A12" s="466" t="s">
        <v>207</v>
      </c>
      <c r="B12" s="467" t="s">
        <v>208</v>
      </c>
      <c r="C12" s="468">
        <v>2E-3</v>
      </c>
      <c r="D12" s="469">
        <v>2E-3</v>
      </c>
    </row>
    <row r="13" spans="1:4" x14ac:dyDescent="0.2">
      <c r="A13" s="462" t="s">
        <v>209</v>
      </c>
      <c r="B13" s="463" t="s">
        <v>210</v>
      </c>
      <c r="C13" s="464">
        <v>6.0000000000000001E-3</v>
      </c>
      <c r="D13" s="465">
        <v>6.0000000000000001E-3</v>
      </c>
    </row>
    <row r="14" spans="1:4" x14ac:dyDescent="0.2">
      <c r="A14" s="466" t="s">
        <v>211</v>
      </c>
      <c r="B14" s="467" t="s">
        <v>212</v>
      </c>
      <c r="C14" s="468">
        <v>2.5000000000000001E-2</v>
      </c>
      <c r="D14" s="469">
        <v>2.5000000000000001E-2</v>
      </c>
    </row>
    <row r="15" spans="1:4" x14ac:dyDescent="0.2">
      <c r="A15" s="462" t="s">
        <v>213</v>
      </c>
      <c r="B15" s="463" t="s">
        <v>214</v>
      </c>
      <c r="C15" s="464">
        <v>0.03</v>
      </c>
      <c r="D15" s="465">
        <v>0.03</v>
      </c>
    </row>
    <row r="16" spans="1:4" x14ac:dyDescent="0.2">
      <c r="A16" s="466" t="s">
        <v>215</v>
      </c>
      <c r="B16" s="467" t="s">
        <v>216</v>
      </c>
      <c r="C16" s="468">
        <v>0.08</v>
      </c>
      <c r="D16" s="469">
        <v>0.08</v>
      </c>
    </row>
    <row r="17" spans="1:4" x14ac:dyDescent="0.2">
      <c r="A17" s="462" t="s">
        <v>217</v>
      </c>
      <c r="B17" s="463" t="s">
        <v>218</v>
      </c>
      <c r="C17" s="464">
        <v>0</v>
      </c>
      <c r="D17" s="465">
        <v>0</v>
      </c>
    </row>
    <row r="18" spans="1:4" x14ac:dyDescent="0.2">
      <c r="A18" s="470" t="s">
        <v>199</v>
      </c>
      <c r="B18" s="471"/>
      <c r="C18" s="472">
        <f>SUM(C9:C17)</f>
        <v>0.36800000000000005</v>
      </c>
      <c r="D18" s="473">
        <f>SUM(D9:D17)</f>
        <v>0.36800000000000005</v>
      </c>
    </row>
    <row r="19" spans="1:4" x14ac:dyDescent="0.2">
      <c r="A19" s="458" t="s">
        <v>219</v>
      </c>
      <c r="B19" s="459" t="s">
        <v>220</v>
      </c>
      <c r="C19" s="460"/>
      <c r="D19" s="461"/>
    </row>
    <row r="20" spans="1:4" x14ac:dyDescent="0.2">
      <c r="A20" s="462" t="s">
        <v>221</v>
      </c>
      <c r="B20" s="463" t="s">
        <v>222</v>
      </c>
      <c r="C20" s="464">
        <v>0.17929999999999999</v>
      </c>
      <c r="D20" s="465" t="s">
        <v>223</v>
      </c>
    </row>
    <row r="21" spans="1:4" x14ac:dyDescent="0.2">
      <c r="A21" s="466" t="s">
        <v>224</v>
      </c>
      <c r="B21" s="467" t="s">
        <v>225</v>
      </c>
      <c r="C21" s="468">
        <v>4.24E-2</v>
      </c>
      <c r="D21" s="474" t="s">
        <v>223</v>
      </c>
    </row>
    <row r="22" spans="1:4" x14ac:dyDescent="0.2">
      <c r="A22" s="462" t="s">
        <v>226</v>
      </c>
      <c r="B22" s="463" t="s">
        <v>227</v>
      </c>
      <c r="C22" s="464">
        <v>8.6999999999999994E-3</v>
      </c>
      <c r="D22" s="465">
        <v>6.7000000000000002E-3</v>
      </c>
    </row>
    <row r="23" spans="1:4" x14ac:dyDescent="0.2">
      <c r="A23" s="466" t="s">
        <v>228</v>
      </c>
      <c r="B23" s="467" t="s">
        <v>229</v>
      </c>
      <c r="C23" s="468">
        <v>0.10780000000000001</v>
      </c>
      <c r="D23" s="469">
        <v>8.3299999999999999E-2</v>
      </c>
    </row>
    <row r="24" spans="1:4" x14ac:dyDescent="0.2">
      <c r="A24" s="462" t="s">
        <v>230</v>
      </c>
      <c r="B24" s="463" t="s">
        <v>231</v>
      </c>
      <c r="C24" s="464">
        <v>6.9999999999999999E-4</v>
      </c>
      <c r="D24" s="465">
        <v>5.9999999999999995E-4</v>
      </c>
    </row>
    <row r="25" spans="1:4" x14ac:dyDescent="0.2">
      <c r="A25" s="466" t="s">
        <v>232</v>
      </c>
      <c r="B25" s="467" t="s">
        <v>233</v>
      </c>
      <c r="C25" s="468">
        <v>7.1999999999999998E-3</v>
      </c>
      <c r="D25" s="469">
        <v>5.5999999999999999E-3</v>
      </c>
    </row>
    <row r="26" spans="1:4" x14ac:dyDescent="0.2">
      <c r="A26" s="462" t="s">
        <v>234</v>
      </c>
      <c r="B26" s="463" t="s">
        <v>235</v>
      </c>
      <c r="C26" s="464">
        <v>1.5299999999999999E-2</v>
      </c>
      <c r="D26" s="465" t="s">
        <v>223</v>
      </c>
    </row>
    <row r="27" spans="1:4" x14ac:dyDescent="0.2">
      <c r="A27" s="466" t="s">
        <v>236</v>
      </c>
      <c r="B27" s="467" t="s">
        <v>237</v>
      </c>
      <c r="C27" s="468">
        <v>1.1000000000000001E-3</v>
      </c>
      <c r="D27" s="469">
        <v>8.0000000000000004E-4</v>
      </c>
    </row>
    <row r="28" spans="1:4" x14ac:dyDescent="0.2">
      <c r="A28" s="462" t="s">
        <v>238</v>
      </c>
      <c r="B28" s="463" t="s">
        <v>239</v>
      </c>
      <c r="C28" s="464">
        <v>7.7399999999999997E-2</v>
      </c>
      <c r="D28" s="465">
        <v>5.9799999999999999E-2</v>
      </c>
    </row>
    <row r="29" spans="1:4" x14ac:dyDescent="0.2">
      <c r="A29" s="466" t="s">
        <v>240</v>
      </c>
      <c r="B29" s="467" t="s">
        <v>241</v>
      </c>
      <c r="C29" s="468">
        <v>2.9999999999999997E-4</v>
      </c>
      <c r="D29" s="474">
        <v>2.9999999999999997E-4</v>
      </c>
    </row>
    <row r="30" spans="1:4" x14ac:dyDescent="0.2">
      <c r="A30" s="470" t="s">
        <v>219</v>
      </c>
      <c r="B30" s="471" t="s">
        <v>242</v>
      </c>
      <c r="C30" s="472">
        <f>SUM(C20:C29)</f>
        <v>0.44019999999999998</v>
      </c>
      <c r="D30" s="473">
        <f>SUM(D20:D29)</f>
        <v>0.15709999999999999</v>
      </c>
    </row>
    <row r="31" spans="1:4" x14ac:dyDescent="0.2">
      <c r="A31" s="458" t="s">
        <v>243</v>
      </c>
      <c r="B31" s="459" t="s">
        <v>244</v>
      </c>
      <c r="C31" s="460"/>
      <c r="D31" s="461"/>
    </row>
    <row r="32" spans="1:4" x14ac:dyDescent="0.2">
      <c r="A32" s="462" t="s">
        <v>245</v>
      </c>
      <c r="B32" s="463" t="s">
        <v>246</v>
      </c>
      <c r="C32" s="464">
        <v>4.4900000000000002E-2</v>
      </c>
      <c r="D32" s="465">
        <v>3.4700000000000002E-2</v>
      </c>
    </row>
    <row r="33" spans="1:4" x14ac:dyDescent="0.2">
      <c r="A33" s="466" t="s">
        <v>247</v>
      </c>
      <c r="B33" s="467" t="s">
        <v>248</v>
      </c>
      <c r="C33" s="468">
        <v>1.1000000000000001E-3</v>
      </c>
      <c r="D33" s="469">
        <v>8.0000000000000004E-4</v>
      </c>
    </row>
    <row r="34" spans="1:4" x14ac:dyDescent="0.2">
      <c r="A34" s="462" t="s">
        <v>249</v>
      </c>
      <c r="B34" s="463" t="s">
        <v>250</v>
      </c>
      <c r="C34" s="464">
        <v>5.0500000000000003E-2</v>
      </c>
      <c r="D34" s="465">
        <v>3.9E-2</v>
      </c>
    </row>
    <row r="35" spans="1:4" x14ac:dyDescent="0.2">
      <c r="A35" s="466" t="s">
        <v>251</v>
      </c>
      <c r="B35" s="467" t="s">
        <v>252</v>
      </c>
      <c r="C35" s="468">
        <v>3.6499999999999998E-2</v>
      </c>
      <c r="D35" s="469">
        <v>2.8199999999999999E-2</v>
      </c>
    </row>
    <row r="36" spans="1:4" x14ac:dyDescent="0.2">
      <c r="A36" s="462" t="s">
        <v>253</v>
      </c>
      <c r="B36" s="463" t="s">
        <v>254</v>
      </c>
      <c r="C36" s="464">
        <v>3.8E-3</v>
      </c>
      <c r="D36" s="465">
        <v>2.8999999999999998E-3</v>
      </c>
    </row>
    <row r="37" spans="1:4" x14ac:dyDescent="0.2">
      <c r="A37" s="470" t="s">
        <v>243</v>
      </c>
      <c r="B37" s="471" t="s">
        <v>255</v>
      </c>
      <c r="C37" s="472">
        <f>SUM(C32:C36)</f>
        <v>0.1368</v>
      </c>
      <c r="D37" s="473">
        <f>SUM(D32:D36)</f>
        <v>0.10560000000000001</v>
      </c>
    </row>
    <row r="38" spans="1:4" x14ac:dyDescent="0.2">
      <c r="A38" s="458" t="s">
        <v>256</v>
      </c>
      <c r="B38" s="459" t="s">
        <v>257</v>
      </c>
      <c r="C38" s="460"/>
      <c r="D38" s="461"/>
    </row>
    <row r="39" spans="1:4" x14ac:dyDescent="0.2">
      <c r="A39" s="462" t="s">
        <v>258</v>
      </c>
      <c r="B39" s="463" t="s">
        <v>259</v>
      </c>
      <c r="C39" s="475">
        <v>0.16200000000000001</v>
      </c>
      <c r="D39" s="476">
        <v>5.7799999999999997E-2</v>
      </c>
    </row>
    <row r="40" spans="1:4" ht="25.5" x14ac:dyDescent="0.2">
      <c r="A40" s="466" t="s">
        <v>260</v>
      </c>
      <c r="B40" s="477" t="s">
        <v>261</v>
      </c>
      <c r="C40" s="478">
        <v>4.0000000000000001E-3</v>
      </c>
      <c r="D40" s="479">
        <v>3.0999999999999999E-3</v>
      </c>
    </row>
    <row r="41" spans="1:4" x14ac:dyDescent="0.2">
      <c r="A41" s="480" t="s">
        <v>256</v>
      </c>
      <c r="B41" s="481" t="s">
        <v>262</v>
      </c>
      <c r="C41" s="482">
        <f>SUM(C39:C40)</f>
        <v>0.16600000000000001</v>
      </c>
      <c r="D41" s="483">
        <f>SUM(D39:D40)</f>
        <v>6.0899999999999996E-2</v>
      </c>
    </row>
    <row r="42" spans="1:4" ht="13.5" thickBot="1" x14ac:dyDescent="0.25">
      <c r="A42" s="443"/>
      <c r="B42" s="484" t="s">
        <v>263</v>
      </c>
      <c r="C42" s="485">
        <f>ROUND((C41+C37+C30+C18),4)</f>
        <v>1.111</v>
      </c>
      <c r="D42" s="485">
        <f>ROUND((D41+D37+D30+D18),4)</f>
        <v>0.69159999999999999</v>
      </c>
    </row>
    <row r="43" spans="1:4" x14ac:dyDescent="0.2">
      <c r="A43" s="419"/>
      <c r="B43" s="419"/>
      <c r="C43" s="419"/>
      <c r="D43" s="419"/>
    </row>
    <row r="44" spans="1:4" x14ac:dyDescent="0.2">
      <c r="A44" s="419"/>
      <c r="B44" s="419"/>
      <c r="C44" s="486"/>
      <c r="D44" s="486"/>
    </row>
    <row r="45" spans="1:4" x14ac:dyDescent="0.2">
      <c r="A45" s="419"/>
      <c r="B45" s="419"/>
      <c r="C45" s="419"/>
      <c r="D45" s="419"/>
    </row>
    <row r="46" spans="1:4" x14ac:dyDescent="0.2">
      <c r="A46" s="419"/>
      <c r="B46" s="419"/>
      <c r="C46" s="487"/>
      <c r="D46" s="419"/>
    </row>
    <row r="47" spans="1:4" x14ac:dyDescent="0.2">
      <c r="A47" s="419"/>
      <c r="B47" s="419"/>
      <c r="C47" s="419"/>
      <c r="D47" s="419"/>
    </row>
    <row r="48" spans="1:4" x14ac:dyDescent="0.2">
      <c r="A48" s="419"/>
      <c r="B48" s="419"/>
      <c r="C48" s="419"/>
      <c r="D48" s="419"/>
    </row>
    <row r="49" s="419" customFormat="1" x14ac:dyDescent="0.2"/>
    <row r="50" s="419" customFormat="1" x14ac:dyDescent="0.2"/>
    <row r="51" s="419" customFormat="1" x14ac:dyDescent="0.2"/>
    <row r="52" s="419" customFormat="1" x14ac:dyDescent="0.2"/>
    <row r="53" s="419" customFormat="1" x14ac:dyDescent="0.2"/>
    <row r="54" s="419" customFormat="1" x14ac:dyDescent="0.2"/>
    <row r="55" s="419" customFormat="1" x14ac:dyDescent="0.2"/>
    <row r="56" s="419" customFormat="1" x14ac:dyDescent="0.2"/>
    <row r="57" s="419" customFormat="1" x14ac:dyDescent="0.2"/>
    <row r="58" s="419" customFormat="1" x14ac:dyDescent="0.2"/>
    <row r="59" s="419" customFormat="1" x14ac:dyDescent="0.2"/>
    <row r="60" s="419" customFormat="1" x14ac:dyDescent="0.2"/>
    <row r="61" s="419" customFormat="1" x14ac:dyDescent="0.2"/>
    <row r="62" s="419" customFormat="1" x14ac:dyDescent="0.2"/>
    <row r="63" s="419" customFormat="1" x14ac:dyDescent="0.2"/>
    <row r="64" s="419" customFormat="1" x14ac:dyDescent="0.2"/>
    <row r="65" s="419" customFormat="1" x14ac:dyDescent="0.2"/>
    <row r="66" s="419" customFormat="1" x14ac:dyDescent="0.2"/>
    <row r="67" s="419" customFormat="1" x14ac:dyDescent="0.2"/>
    <row r="68" s="419" customFormat="1" x14ac:dyDescent="0.2"/>
    <row r="69" s="419" customFormat="1" x14ac:dyDescent="0.2"/>
    <row r="70" s="419" customFormat="1" x14ac:dyDescent="0.2"/>
    <row r="71" s="419" customFormat="1" x14ac:dyDescent="0.2"/>
    <row r="72" s="419" customFormat="1" x14ac:dyDescent="0.2"/>
    <row r="73" s="419" customFormat="1" x14ac:dyDescent="0.2"/>
    <row r="74" s="419" customFormat="1" x14ac:dyDescent="0.2"/>
    <row r="75" s="419" customFormat="1" x14ac:dyDescent="0.2"/>
    <row r="76" s="419" customFormat="1" x14ac:dyDescent="0.2"/>
    <row r="77" s="419" customFormat="1" x14ac:dyDescent="0.2"/>
    <row r="78" s="419" customFormat="1" x14ac:dyDescent="0.2"/>
    <row r="79" s="419" customFormat="1" x14ac:dyDescent="0.2"/>
    <row r="80" s="419" customFormat="1" x14ac:dyDescent="0.2"/>
    <row r="81" s="419" customFormat="1" x14ac:dyDescent="0.2"/>
    <row r="82" s="419" customFormat="1" x14ac:dyDescent="0.2"/>
    <row r="83" s="419" customFormat="1" x14ac:dyDescent="0.2"/>
    <row r="84" s="419" customFormat="1" x14ac:dyDescent="0.2"/>
    <row r="85" s="419" customFormat="1" x14ac:dyDescent="0.2"/>
    <row r="86" s="419" customFormat="1" x14ac:dyDescent="0.2"/>
    <row r="87" s="419" customFormat="1" x14ac:dyDescent="0.2"/>
    <row r="88" s="419" customFormat="1" x14ac:dyDescent="0.2"/>
    <row r="89" s="419" customFormat="1" x14ac:dyDescent="0.2"/>
    <row r="90" s="419" customFormat="1" x14ac:dyDescent="0.2"/>
    <row r="91" s="419" customFormat="1" x14ac:dyDescent="0.2"/>
    <row r="92" s="419" customFormat="1" x14ac:dyDescent="0.2"/>
    <row r="93" s="419" customFormat="1" x14ac:dyDescent="0.2"/>
    <row r="94" s="419" customFormat="1" x14ac:dyDescent="0.2"/>
    <row r="95" s="419" customFormat="1" x14ac:dyDescent="0.2"/>
    <row r="96" s="419" customFormat="1" x14ac:dyDescent="0.2"/>
    <row r="97" s="419" customFormat="1" x14ac:dyDescent="0.2"/>
    <row r="98" s="419" customFormat="1" x14ac:dyDescent="0.2"/>
    <row r="99" s="419" customFormat="1" x14ac:dyDescent="0.2"/>
    <row r="100" s="419" customFormat="1" x14ac:dyDescent="0.2"/>
    <row r="101" s="419" customFormat="1" x14ac:dyDescent="0.2"/>
    <row r="102" s="419" customFormat="1" x14ac:dyDescent="0.2"/>
    <row r="103" s="419" customFormat="1" x14ac:dyDescent="0.2"/>
    <row r="104" s="419" customFormat="1" x14ac:dyDescent="0.2"/>
    <row r="105" s="419" customFormat="1" x14ac:dyDescent="0.2"/>
    <row r="106" s="419" customFormat="1" x14ac:dyDescent="0.2"/>
    <row r="107" s="419" customFormat="1" x14ac:dyDescent="0.2"/>
    <row r="108" s="419" customFormat="1" x14ac:dyDescent="0.2"/>
    <row r="109" s="419" customFormat="1" x14ac:dyDescent="0.2"/>
    <row r="110" s="419" customFormat="1" x14ac:dyDescent="0.2"/>
    <row r="111" s="419" customFormat="1" x14ac:dyDescent="0.2"/>
    <row r="112" s="419" customFormat="1" x14ac:dyDescent="0.2"/>
    <row r="113" s="419" customFormat="1" x14ac:dyDescent="0.2"/>
    <row r="114" s="419" customFormat="1" x14ac:dyDescent="0.2"/>
    <row r="115" s="419" customFormat="1" x14ac:dyDescent="0.2"/>
    <row r="116" s="419" customFormat="1" x14ac:dyDescent="0.2"/>
    <row r="117" s="419" customFormat="1" x14ac:dyDescent="0.2"/>
    <row r="118" s="419" customFormat="1" x14ac:dyDescent="0.2"/>
    <row r="119" s="419" customFormat="1" x14ac:dyDescent="0.2"/>
    <row r="120" s="419" customFormat="1" x14ac:dyDescent="0.2"/>
    <row r="121" s="419" customFormat="1" x14ac:dyDescent="0.2"/>
    <row r="122" s="419" customFormat="1" x14ac:dyDescent="0.2"/>
    <row r="123" s="419" customFormat="1" x14ac:dyDescent="0.2"/>
    <row r="124" s="419" customFormat="1" x14ac:dyDescent="0.2"/>
    <row r="125" s="419" customFormat="1" x14ac:dyDescent="0.2"/>
    <row r="126" s="419" customFormat="1" x14ac:dyDescent="0.2"/>
    <row r="127" s="419" customFormat="1" x14ac:dyDescent="0.2"/>
    <row r="128" s="419" customFormat="1" x14ac:dyDescent="0.2"/>
    <row r="129" s="419" customFormat="1" x14ac:dyDescent="0.2"/>
    <row r="130" s="419" customFormat="1" x14ac:dyDescent="0.2"/>
    <row r="131" s="419" customFormat="1" x14ac:dyDescent="0.2"/>
    <row r="132" s="419" customFormat="1" x14ac:dyDescent="0.2"/>
    <row r="133" s="419" customFormat="1" x14ac:dyDescent="0.2"/>
    <row r="134" s="419" customFormat="1" x14ac:dyDescent="0.2"/>
    <row r="135" s="419" customFormat="1" x14ac:dyDescent="0.2"/>
    <row r="136" s="419" customFormat="1" x14ac:dyDescent="0.2"/>
    <row r="137" s="419" customFormat="1" x14ac:dyDescent="0.2"/>
    <row r="138" s="419" customFormat="1" x14ac:dyDescent="0.2"/>
    <row r="139" s="419" customFormat="1" x14ac:dyDescent="0.2"/>
    <row r="140" s="419" customFormat="1" x14ac:dyDescent="0.2"/>
    <row r="141" s="419" customFormat="1" x14ac:dyDescent="0.2"/>
    <row r="142" s="419" customFormat="1" x14ac:dyDescent="0.2"/>
    <row r="143" s="419" customFormat="1" x14ac:dyDescent="0.2"/>
    <row r="144" s="419" customFormat="1" x14ac:dyDescent="0.2"/>
    <row r="145" s="419" customFormat="1" x14ac:dyDescent="0.2"/>
    <row r="146" s="419" customFormat="1" x14ac:dyDescent="0.2"/>
    <row r="147" s="419" customFormat="1" x14ac:dyDescent="0.2"/>
    <row r="148" s="419" customFormat="1" x14ac:dyDescent="0.2"/>
    <row r="149" s="419" customFormat="1" x14ac:dyDescent="0.2"/>
    <row r="150" s="419" customFormat="1" x14ac:dyDescent="0.2"/>
    <row r="151" s="419" customFormat="1" x14ac:dyDescent="0.2"/>
    <row r="152" s="419" customFormat="1" x14ac:dyDescent="0.2"/>
    <row r="153" s="419" customFormat="1" x14ac:dyDescent="0.2"/>
    <row r="154" s="419" customFormat="1" x14ac:dyDescent="0.2"/>
    <row r="155" s="419" customFormat="1" x14ac:dyDescent="0.2"/>
    <row r="156" s="419" customFormat="1" x14ac:dyDescent="0.2"/>
    <row r="157" s="419" customFormat="1" x14ac:dyDescent="0.2"/>
    <row r="158" s="419" customFormat="1" x14ac:dyDescent="0.2"/>
    <row r="159" s="419" customFormat="1" x14ac:dyDescent="0.2"/>
    <row r="160" s="419" customFormat="1" x14ac:dyDescent="0.2"/>
    <row r="161" s="419" customFormat="1" x14ac:dyDescent="0.2"/>
    <row r="162" s="419" customFormat="1" x14ac:dyDescent="0.2"/>
    <row r="163" s="419" customFormat="1" x14ac:dyDescent="0.2"/>
    <row r="164" s="419" customFormat="1" x14ac:dyDescent="0.2"/>
    <row r="165" s="419" customFormat="1" x14ac:dyDescent="0.2"/>
    <row r="166" s="419" customFormat="1" x14ac:dyDescent="0.2"/>
    <row r="167" s="419" customFormat="1" x14ac:dyDescent="0.2"/>
    <row r="168" s="419" customFormat="1" x14ac:dyDescent="0.2"/>
    <row r="169" s="419" customFormat="1" x14ac:dyDescent="0.2"/>
    <row r="170" s="419" customFormat="1" x14ac:dyDescent="0.2"/>
    <row r="171" s="419" customFormat="1" x14ac:dyDescent="0.2"/>
    <row r="172" s="419" customFormat="1" x14ac:dyDescent="0.2"/>
    <row r="173" s="419" customFormat="1" x14ac:dyDescent="0.2"/>
    <row r="174" s="419" customFormat="1" x14ac:dyDescent="0.2"/>
    <row r="175" s="419" customFormat="1" x14ac:dyDescent="0.2"/>
    <row r="176" s="419" customFormat="1" x14ac:dyDescent="0.2"/>
    <row r="177" s="419" customFormat="1" x14ac:dyDescent="0.2"/>
    <row r="178" s="419" customFormat="1" x14ac:dyDescent="0.2"/>
    <row r="179" s="419" customFormat="1" x14ac:dyDescent="0.2"/>
    <row r="180" s="419" customFormat="1" x14ac:dyDescent="0.2"/>
    <row r="181" s="419" customFormat="1" x14ac:dyDescent="0.2"/>
    <row r="182" s="419" customFormat="1" x14ac:dyDescent="0.2"/>
    <row r="183" s="419" customFormat="1" x14ac:dyDescent="0.2"/>
    <row r="184" s="419" customFormat="1" x14ac:dyDescent="0.2"/>
    <row r="185" s="419" customFormat="1" x14ac:dyDescent="0.2"/>
    <row r="186" s="419" customFormat="1" x14ac:dyDescent="0.2"/>
    <row r="187" s="419" customFormat="1" x14ac:dyDescent="0.2"/>
    <row r="188" s="419" customFormat="1" x14ac:dyDescent="0.2"/>
    <row r="189" s="419" customFormat="1" x14ac:dyDescent="0.2"/>
    <row r="190" s="419" customFormat="1" x14ac:dyDescent="0.2"/>
    <row r="191" s="419" customFormat="1" x14ac:dyDescent="0.2"/>
    <row r="192" s="419" customFormat="1" x14ac:dyDescent="0.2"/>
    <row r="193" s="419" customFormat="1" x14ac:dyDescent="0.2"/>
    <row r="194" s="419" customFormat="1" x14ac:dyDescent="0.2"/>
    <row r="195" s="419" customFormat="1" x14ac:dyDescent="0.2"/>
    <row r="196" s="419" customFormat="1" x14ac:dyDescent="0.2"/>
    <row r="197" s="419" customFormat="1" x14ac:dyDescent="0.2"/>
    <row r="198" s="419" customFormat="1" x14ac:dyDescent="0.2"/>
    <row r="199" s="419" customFormat="1" x14ac:dyDescent="0.2"/>
    <row r="200" s="419" customFormat="1" x14ac:dyDescent="0.2"/>
    <row r="201" s="419" customFormat="1" x14ac:dyDescent="0.2"/>
    <row r="202" s="419" customFormat="1" x14ac:dyDescent="0.2"/>
    <row r="203" s="419" customFormat="1" x14ac:dyDescent="0.2"/>
    <row r="204" s="419" customFormat="1" x14ac:dyDescent="0.2"/>
    <row r="205" s="419" customFormat="1" x14ac:dyDescent="0.2"/>
    <row r="206" s="419" customFormat="1" x14ac:dyDescent="0.2"/>
    <row r="207" s="419" customFormat="1" x14ac:dyDescent="0.2"/>
    <row r="208" s="419" customFormat="1" x14ac:dyDescent="0.2"/>
    <row r="209" s="419" customFormat="1" x14ac:dyDescent="0.2"/>
    <row r="210" s="419" customFormat="1" x14ac:dyDescent="0.2"/>
    <row r="211" s="419" customFormat="1" x14ac:dyDescent="0.2"/>
    <row r="212" s="419" customFormat="1" x14ac:dyDescent="0.2"/>
    <row r="213" s="419" customFormat="1" x14ac:dyDescent="0.2"/>
    <row r="214" s="419" customFormat="1" x14ac:dyDescent="0.2"/>
    <row r="215" s="419" customFormat="1" x14ac:dyDescent="0.2"/>
    <row r="216" s="419" customFormat="1" x14ac:dyDescent="0.2"/>
    <row r="217" s="419" customFormat="1" x14ac:dyDescent="0.2"/>
    <row r="218" s="419" customFormat="1" x14ac:dyDescent="0.2"/>
    <row r="219" s="419" customFormat="1" x14ac:dyDescent="0.2"/>
    <row r="220" s="419" customFormat="1" x14ac:dyDescent="0.2"/>
    <row r="221" s="419" customFormat="1" x14ac:dyDescent="0.2"/>
    <row r="222" s="419" customFormat="1" x14ac:dyDescent="0.2"/>
    <row r="223" s="419" customFormat="1" x14ac:dyDescent="0.2"/>
    <row r="224" s="419" customFormat="1" x14ac:dyDescent="0.2"/>
    <row r="225" s="419" customFormat="1" x14ac:dyDescent="0.2"/>
    <row r="226" s="419" customFormat="1" x14ac:dyDescent="0.2"/>
    <row r="227" s="419" customFormat="1" x14ac:dyDescent="0.2"/>
    <row r="228" s="419" customFormat="1" x14ac:dyDescent="0.2"/>
    <row r="229" s="419" customFormat="1" x14ac:dyDescent="0.2"/>
    <row r="230" s="419" customFormat="1" x14ac:dyDescent="0.2"/>
    <row r="231" s="419" customFormat="1" x14ac:dyDescent="0.2"/>
    <row r="232" s="419" customFormat="1" x14ac:dyDescent="0.2"/>
    <row r="233" s="419" customFormat="1" x14ac:dyDescent="0.2"/>
    <row r="234" s="419" customFormat="1" x14ac:dyDescent="0.2"/>
    <row r="235" s="419" customFormat="1" x14ac:dyDescent="0.2"/>
    <row r="236" s="419" customFormat="1" x14ac:dyDescent="0.2"/>
    <row r="237" s="419" customFormat="1" x14ac:dyDescent="0.2"/>
    <row r="238" s="419" customFormat="1" x14ac:dyDescent="0.2"/>
    <row r="239" s="419" customFormat="1" x14ac:dyDescent="0.2"/>
    <row r="240" s="419" customFormat="1" x14ac:dyDescent="0.2"/>
    <row r="241" spans="1:4" s="419" customFormat="1" x14ac:dyDescent="0.2"/>
    <row r="242" spans="1:4" s="419" customFormat="1" x14ac:dyDescent="0.2"/>
    <row r="243" spans="1:4" s="419" customFormat="1" x14ac:dyDescent="0.2"/>
    <row r="244" spans="1:4" s="419" customFormat="1" x14ac:dyDescent="0.2"/>
    <row r="245" spans="1:4" s="419" customFormat="1" x14ac:dyDescent="0.2"/>
    <row r="246" spans="1:4" s="419" customFormat="1" x14ac:dyDescent="0.2"/>
    <row r="247" spans="1:4" x14ac:dyDescent="0.2">
      <c r="A247" s="419"/>
      <c r="B247" s="419"/>
      <c r="C247" s="419"/>
      <c r="D247" s="419"/>
    </row>
    <row r="248" spans="1:4" x14ac:dyDescent="0.2">
      <c r="A248" s="419"/>
      <c r="B248" s="419"/>
      <c r="C248" s="419"/>
      <c r="D248" s="419"/>
    </row>
    <row r="249" spans="1:4" x14ac:dyDescent="0.2">
      <c r="A249" s="419"/>
      <c r="B249" s="419"/>
      <c r="C249" s="419"/>
      <c r="D249" s="419"/>
    </row>
    <row r="250" spans="1:4" x14ac:dyDescent="0.2">
      <c r="A250" s="419"/>
      <c r="B250" s="419"/>
      <c r="C250" s="419"/>
      <c r="D250" s="419"/>
    </row>
    <row r="251" spans="1:4" x14ac:dyDescent="0.2">
      <c r="A251" s="419"/>
      <c r="B251" s="419"/>
      <c r="C251" s="419"/>
      <c r="D251" s="419"/>
    </row>
    <row r="252" spans="1:4" x14ac:dyDescent="0.2">
      <c r="A252" s="419"/>
      <c r="B252" s="419"/>
      <c r="C252" s="419"/>
      <c r="D252" s="419"/>
    </row>
    <row r="253" spans="1:4" x14ac:dyDescent="0.2">
      <c r="A253" s="419"/>
      <c r="B253" s="419"/>
      <c r="C253" s="419"/>
      <c r="D253" s="419"/>
    </row>
    <row r="254" spans="1:4" x14ac:dyDescent="0.2">
      <c r="A254" s="419"/>
      <c r="B254" s="419"/>
      <c r="C254" s="419"/>
      <c r="D254" s="419"/>
    </row>
    <row r="255" spans="1:4" x14ac:dyDescent="0.2">
      <c r="A255" s="419"/>
      <c r="B255" s="419"/>
      <c r="C255" s="419"/>
      <c r="D255" s="419"/>
    </row>
    <row r="256" spans="1:4" x14ac:dyDescent="0.2">
      <c r="A256" s="419"/>
      <c r="B256" s="419"/>
      <c r="C256" s="419"/>
      <c r="D256" s="419"/>
    </row>
    <row r="257" spans="1:4" x14ac:dyDescent="0.2">
      <c r="A257" s="419"/>
      <c r="B257" s="419"/>
      <c r="C257" s="419"/>
      <c r="D257" s="419"/>
    </row>
    <row r="258" spans="1:4" x14ac:dyDescent="0.2">
      <c r="A258" s="419"/>
      <c r="B258" s="419"/>
      <c r="C258" s="419"/>
      <c r="D258" s="419"/>
    </row>
    <row r="259" spans="1:4" x14ac:dyDescent="0.2">
      <c r="A259" s="419"/>
      <c r="B259" s="419"/>
      <c r="C259" s="419"/>
      <c r="D259" s="419"/>
    </row>
    <row r="260" spans="1:4" x14ac:dyDescent="0.2">
      <c r="A260" s="419"/>
      <c r="B260" s="419"/>
      <c r="C260" s="419"/>
      <c r="D260" s="419"/>
    </row>
    <row r="261" spans="1:4" x14ac:dyDescent="0.2">
      <c r="A261" s="419"/>
      <c r="B261" s="419"/>
      <c r="C261" s="419"/>
      <c r="D261" s="419"/>
    </row>
    <row r="262" spans="1:4" x14ac:dyDescent="0.2">
      <c r="A262" s="419"/>
      <c r="B262" s="419"/>
      <c r="C262" s="419"/>
      <c r="D262" s="419"/>
    </row>
    <row r="263" spans="1:4" x14ac:dyDescent="0.2">
      <c r="A263" s="419"/>
      <c r="B263" s="419"/>
      <c r="C263" s="419"/>
      <c r="D263" s="419"/>
    </row>
    <row r="264" spans="1:4" x14ac:dyDescent="0.2">
      <c r="A264" s="419"/>
      <c r="B264" s="419"/>
      <c r="C264" s="419"/>
      <c r="D264" s="419"/>
    </row>
    <row r="265" spans="1:4" x14ac:dyDescent="0.2">
      <c r="A265" s="419"/>
      <c r="B265" s="419"/>
      <c r="C265" s="419"/>
      <c r="D265" s="419"/>
    </row>
    <row r="266" spans="1:4" x14ac:dyDescent="0.2">
      <c r="A266" s="419"/>
      <c r="B266" s="419"/>
      <c r="C266" s="419"/>
      <c r="D266" s="419"/>
    </row>
    <row r="267" spans="1:4" x14ac:dyDescent="0.2">
      <c r="A267" s="419"/>
      <c r="B267" s="419"/>
      <c r="C267" s="419"/>
      <c r="D267" s="419"/>
    </row>
    <row r="268" spans="1:4" x14ac:dyDescent="0.2">
      <c r="A268" s="419"/>
      <c r="B268" s="419"/>
      <c r="C268" s="419"/>
      <c r="D268" s="419"/>
    </row>
    <row r="269" spans="1:4" x14ac:dyDescent="0.2">
      <c r="A269" s="419"/>
      <c r="B269" s="419"/>
      <c r="C269" s="419"/>
      <c r="D269" s="419"/>
    </row>
    <row r="270" spans="1:4" x14ac:dyDescent="0.2">
      <c r="A270" s="419"/>
      <c r="B270" s="419"/>
      <c r="C270" s="419"/>
      <c r="D270" s="419"/>
    </row>
    <row r="271" spans="1:4" x14ac:dyDescent="0.2">
      <c r="A271" s="419"/>
      <c r="B271" s="419"/>
      <c r="C271" s="419"/>
      <c r="D271" s="419"/>
    </row>
    <row r="272" spans="1:4" x14ac:dyDescent="0.2">
      <c r="A272" s="419"/>
      <c r="B272" s="419"/>
      <c r="C272" s="419"/>
      <c r="D272" s="419"/>
    </row>
    <row r="273" spans="1:4" x14ac:dyDescent="0.2">
      <c r="A273" s="419"/>
      <c r="B273" s="419"/>
      <c r="C273" s="419"/>
      <c r="D273" s="419"/>
    </row>
    <row r="274" spans="1:4" x14ac:dyDescent="0.2">
      <c r="A274" s="419"/>
      <c r="B274" s="419"/>
      <c r="C274" s="419"/>
      <c r="D274" s="419"/>
    </row>
    <row r="275" spans="1:4" x14ac:dyDescent="0.2">
      <c r="A275" s="419"/>
      <c r="B275" s="419"/>
      <c r="C275" s="419"/>
      <c r="D275" s="419"/>
    </row>
    <row r="276" spans="1:4" x14ac:dyDescent="0.2">
      <c r="A276" s="419"/>
      <c r="B276" s="419"/>
      <c r="C276" s="419"/>
      <c r="D276" s="419"/>
    </row>
    <row r="277" spans="1:4" x14ac:dyDescent="0.2">
      <c r="A277" s="419"/>
      <c r="B277" s="419"/>
      <c r="C277" s="419"/>
      <c r="D277" s="419"/>
    </row>
    <row r="278" spans="1:4" x14ac:dyDescent="0.2">
      <c r="A278" s="419"/>
      <c r="B278" s="419"/>
      <c r="C278" s="419"/>
      <c r="D278" s="419"/>
    </row>
    <row r="279" spans="1:4" x14ac:dyDescent="0.2">
      <c r="A279" s="419"/>
      <c r="B279" s="419"/>
      <c r="C279" s="419"/>
      <c r="D279" s="419"/>
    </row>
    <row r="280" spans="1:4" x14ac:dyDescent="0.2">
      <c r="A280" s="419"/>
      <c r="B280" s="419"/>
      <c r="C280" s="419"/>
      <c r="D280" s="419"/>
    </row>
    <row r="281" spans="1:4" x14ac:dyDescent="0.2">
      <c r="A281" s="419"/>
      <c r="B281" s="419"/>
      <c r="C281" s="419"/>
      <c r="D281" s="419"/>
    </row>
    <row r="282" spans="1:4" x14ac:dyDescent="0.2">
      <c r="A282" s="419"/>
      <c r="B282" s="419"/>
      <c r="C282" s="419"/>
      <c r="D282" s="419"/>
    </row>
    <row r="283" spans="1:4" x14ac:dyDescent="0.2">
      <c r="A283" s="419"/>
      <c r="B283" s="419"/>
      <c r="C283" s="419"/>
      <c r="D283" s="419"/>
    </row>
    <row r="284" spans="1:4" x14ac:dyDescent="0.2">
      <c r="A284" s="419"/>
      <c r="B284" s="419"/>
      <c r="C284" s="419"/>
      <c r="D284" s="419"/>
    </row>
    <row r="285" spans="1:4" x14ac:dyDescent="0.2">
      <c r="A285" s="419"/>
      <c r="B285" s="419"/>
      <c r="C285" s="419"/>
      <c r="D285" s="419"/>
    </row>
    <row r="286" spans="1:4" x14ac:dyDescent="0.2">
      <c r="A286" s="419"/>
      <c r="B286" s="419"/>
      <c r="C286" s="419"/>
      <c r="D286" s="419"/>
    </row>
    <row r="287" spans="1:4" x14ac:dyDescent="0.2">
      <c r="A287" s="419"/>
      <c r="B287" s="419"/>
      <c r="C287" s="419"/>
      <c r="D287" s="419"/>
    </row>
    <row r="288" spans="1:4" x14ac:dyDescent="0.2">
      <c r="A288" s="419"/>
      <c r="B288" s="419"/>
      <c r="C288" s="419"/>
      <c r="D288" s="419"/>
    </row>
    <row r="289" spans="1:4" x14ac:dyDescent="0.2">
      <c r="A289" s="419"/>
      <c r="B289" s="419"/>
      <c r="C289" s="419"/>
      <c r="D289" s="419"/>
    </row>
    <row r="290" spans="1:4" x14ac:dyDescent="0.2">
      <c r="A290" s="419"/>
      <c r="B290" s="419"/>
      <c r="C290" s="419"/>
      <c r="D290" s="419"/>
    </row>
    <row r="291" spans="1:4" x14ac:dyDescent="0.2">
      <c r="A291" s="419"/>
      <c r="B291" s="419"/>
      <c r="C291" s="419"/>
      <c r="D291" s="419"/>
    </row>
    <row r="292" spans="1:4" x14ac:dyDescent="0.2">
      <c r="A292" s="419"/>
      <c r="B292" s="419"/>
      <c r="C292" s="419"/>
      <c r="D292" s="419"/>
    </row>
    <row r="293" spans="1:4" x14ac:dyDescent="0.2">
      <c r="A293" s="419"/>
      <c r="B293" s="419"/>
      <c r="C293" s="419"/>
      <c r="D293" s="419"/>
    </row>
    <row r="294" spans="1:4" x14ac:dyDescent="0.2">
      <c r="A294" s="419"/>
      <c r="B294" s="419"/>
      <c r="C294" s="419"/>
      <c r="D294" s="419"/>
    </row>
    <row r="295" spans="1:4" x14ac:dyDescent="0.2">
      <c r="A295" s="419"/>
      <c r="B295" s="419"/>
      <c r="C295" s="419"/>
      <c r="D295" s="419"/>
    </row>
    <row r="296" spans="1:4" x14ac:dyDescent="0.2">
      <c r="A296" s="419"/>
      <c r="B296" s="419"/>
      <c r="C296" s="419"/>
      <c r="D296" s="419"/>
    </row>
    <row r="297" spans="1:4" x14ac:dyDescent="0.2">
      <c r="A297" s="419"/>
      <c r="B297" s="419"/>
      <c r="C297" s="419"/>
      <c r="D297" s="419"/>
    </row>
    <row r="298" spans="1:4" x14ac:dyDescent="0.2">
      <c r="A298" s="419"/>
      <c r="B298" s="419"/>
      <c r="C298" s="419"/>
      <c r="D298" s="419"/>
    </row>
    <row r="299" spans="1:4" x14ac:dyDescent="0.2">
      <c r="A299" s="419"/>
      <c r="B299" s="419"/>
      <c r="C299" s="419"/>
      <c r="D299" s="419"/>
    </row>
    <row r="300" spans="1:4" x14ac:dyDescent="0.2">
      <c r="A300" s="419"/>
      <c r="B300" s="419"/>
      <c r="C300" s="419"/>
      <c r="D300" s="419"/>
    </row>
    <row r="301" spans="1:4" x14ac:dyDescent="0.2">
      <c r="A301" s="419"/>
      <c r="B301" s="419"/>
      <c r="C301" s="419"/>
      <c r="D301" s="419"/>
    </row>
    <row r="302" spans="1:4" x14ac:dyDescent="0.2">
      <c r="A302" s="419"/>
      <c r="B302" s="419"/>
      <c r="C302" s="419"/>
      <c r="D302" s="419"/>
    </row>
    <row r="303" spans="1:4" x14ac:dyDescent="0.2">
      <c r="A303" s="419"/>
      <c r="B303" s="419"/>
      <c r="C303" s="419"/>
      <c r="D303" s="419"/>
    </row>
    <row r="304" spans="1:4" x14ac:dyDescent="0.2">
      <c r="A304" s="419"/>
      <c r="B304" s="419"/>
      <c r="C304" s="419"/>
      <c r="D304" s="419"/>
    </row>
    <row r="305" spans="1:4" x14ac:dyDescent="0.2">
      <c r="A305" s="419"/>
      <c r="B305" s="419"/>
      <c r="C305" s="419"/>
      <c r="D305" s="419"/>
    </row>
    <row r="306" spans="1:4" x14ac:dyDescent="0.2">
      <c r="A306" s="419"/>
      <c r="B306" s="419"/>
      <c r="C306" s="419"/>
      <c r="D306" s="419"/>
    </row>
    <row r="307" spans="1:4" x14ac:dyDescent="0.2">
      <c r="A307" s="419"/>
      <c r="B307" s="419"/>
      <c r="C307" s="419"/>
      <c r="D307" s="419"/>
    </row>
    <row r="308" spans="1:4" x14ac:dyDescent="0.2">
      <c r="A308" s="419"/>
      <c r="B308" s="419"/>
      <c r="C308" s="419"/>
      <c r="D308" s="419"/>
    </row>
    <row r="309" spans="1:4" x14ac:dyDescent="0.2">
      <c r="A309" s="419"/>
      <c r="B309" s="419"/>
      <c r="C309" s="419"/>
      <c r="D309" s="419"/>
    </row>
    <row r="310" spans="1:4" x14ac:dyDescent="0.2">
      <c r="A310" s="419"/>
      <c r="B310" s="419"/>
      <c r="C310" s="419"/>
      <c r="D310" s="419"/>
    </row>
    <row r="311" spans="1:4" x14ac:dyDescent="0.2">
      <c r="A311" s="419"/>
      <c r="B311" s="419"/>
      <c r="C311" s="419"/>
      <c r="D311" s="419"/>
    </row>
    <row r="312" spans="1:4" x14ac:dyDescent="0.2">
      <c r="A312" s="419"/>
      <c r="B312" s="419"/>
      <c r="C312" s="419"/>
      <c r="D312" s="419"/>
    </row>
    <row r="313" spans="1:4" x14ac:dyDescent="0.2">
      <c r="A313" s="419"/>
      <c r="B313" s="419"/>
      <c r="C313" s="419"/>
      <c r="D313" s="419"/>
    </row>
    <row r="314" spans="1:4" x14ac:dyDescent="0.2">
      <c r="A314" s="419"/>
      <c r="B314" s="419"/>
      <c r="C314" s="419"/>
      <c r="D314" s="419"/>
    </row>
    <row r="315" spans="1:4" x14ac:dyDescent="0.2">
      <c r="A315" s="419"/>
      <c r="B315" s="419"/>
      <c r="C315" s="419"/>
      <c r="D315" s="419"/>
    </row>
    <row r="316" spans="1:4" x14ac:dyDescent="0.2">
      <c r="A316" s="419"/>
      <c r="B316" s="419"/>
      <c r="C316" s="419"/>
      <c r="D316" s="419"/>
    </row>
    <row r="317" spans="1:4" x14ac:dyDescent="0.2">
      <c r="A317" s="419"/>
      <c r="B317" s="419"/>
      <c r="C317" s="419"/>
      <c r="D317" s="419"/>
    </row>
    <row r="318" spans="1:4" x14ac:dyDescent="0.2">
      <c r="A318" s="419"/>
      <c r="B318" s="419"/>
      <c r="C318" s="419"/>
      <c r="D318" s="419"/>
    </row>
    <row r="319" spans="1:4" x14ac:dyDescent="0.2">
      <c r="A319" s="419"/>
      <c r="B319" s="419"/>
      <c r="C319" s="419"/>
      <c r="D319" s="419"/>
    </row>
    <row r="320" spans="1:4" x14ac:dyDescent="0.2">
      <c r="A320" s="419"/>
      <c r="B320" s="419"/>
      <c r="C320" s="419"/>
      <c r="D320" s="419"/>
    </row>
    <row r="321" spans="1:4" x14ac:dyDescent="0.2">
      <c r="A321" s="419"/>
      <c r="B321" s="419"/>
      <c r="C321" s="419"/>
      <c r="D321" s="419"/>
    </row>
    <row r="322" spans="1:4" x14ac:dyDescent="0.2">
      <c r="A322" s="419"/>
      <c r="B322" s="419"/>
      <c r="C322" s="419"/>
      <c r="D322" s="419"/>
    </row>
    <row r="323" spans="1:4" x14ac:dyDescent="0.2">
      <c r="A323" s="419"/>
      <c r="B323" s="419"/>
      <c r="C323" s="419"/>
      <c r="D323" s="419"/>
    </row>
    <row r="324" spans="1:4" x14ac:dyDescent="0.2">
      <c r="A324" s="419"/>
      <c r="B324" s="419"/>
      <c r="C324" s="419"/>
      <c r="D324" s="419"/>
    </row>
    <row r="325" spans="1:4" x14ac:dyDescent="0.2">
      <c r="A325" s="419"/>
      <c r="B325" s="419"/>
      <c r="C325" s="419"/>
      <c r="D325" s="419"/>
    </row>
    <row r="326" spans="1:4" x14ac:dyDescent="0.2">
      <c r="A326" s="419"/>
      <c r="B326" s="419"/>
      <c r="C326" s="419"/>
      <c r="D326" s="419"/>
    </row>
    <row r="327" spans="1:4" x14ac:dyDescent="0.2">
      <c r="A327" s="419"/>
      <c r="B327" s="419"/>
      <c r="C327" s="419"/>
      <c r="D327" s="419"/>
    </row>
    <row r="328" spans="1:4" x14ac:dyDescent="0.2">
      <c r="A328" s="419"/>
      <c r="B328" s="419"/>
      <c r="C328" s="419"/>
      <c r="D328" s="419"/>
    </row>
    <row r="329" spans="1:4" x14ac:dyDescent="0.2">
      <c r="A329" s="419"/>
      <c r="B329" s="419"/>
      <c r="C329" s="419"/>
      <c r="D329" s="419"/>
    </row>
    <row r="330" spans="1:4" x14ac:dyDescent="0.2">
      <c r="A330" s="419"/>
      <c r="B330" s="419"/>
      <c r="C330" s="419"/>
      <c r="D330" s="419"/>
    </row>
    <row r="331" spans="1:4" x14ac:dyDescent="0.2">
      <c r="A331" s="419"/>
      <c r="B331" s="419"/>
      <c r="C331" s="419"/>
      <c r="D331" s="419"/>
    </row>
    <row r="332" spans="1:4" x14ac:dyDescent="0.2">
      <c r="A332" s="419"/>
      <c r="B332" s="419"/>
      <c r="C332" s="419"/>
      <c r="D332" s="419"/>
    </row>
    <row r="333" spans="1:4" x14ac:dyDescent="0.2">
      <c r="A333" s="419"/>
      <c r="B333" s="419"/>
      <c r="C333" s="419"/>
      <c r="D333" s="419"/>
    </row>
    <row r="334" spans="1:4" x14ac:dyDescent="0.2">
      <c r="A334" s="419"/>
      <c r="B334" s="419"/>
      <c r="C334" s="419"/>
      <c r="D334" s="419"/>
    </row>
    <row r="335" spans="1:4" x14ac:dyDescent="0.2">
      <c r="A335" s="419"/>
      <c r="B335" s="419"/>
      <c r="C335" s="419"/>
      <c r="D335" s="419"/>
    </row>
    <row r="336" spans="1:4" x14ac:dyDescent="0.2">
      <c r="A336" s="419"/>
      <c r="B336" s="419"/>
      <c r="C336" s="419"/>
      <c r="D336" s="419"/>
    </row>
    <row r="337" spans="1:4" x14ac:dyDescent="0.2">
      <c r="A337" s="419"/>
      <c r="B337" s="419"/>
      <c r="C337" s="419"/>
      <c r="D337" s="419"/>
    </row>
    <row r="338" spans="1:4" x14ac:dyDescent="0.2">
      <c r="A338" s="419"/>
      <c r="B338" s="419"/>
      <c r="C338" s="419"/>
      <c r="D338" s="419"/>
    </row>
    <row r="339" spans="1:4" x14ac:dyDescent="0.2">
      <c r="A339" s="419"/>
      <c r="B339" s="419"/>
      <c r="C339" s="419"/>
      <c r="D339" s="419"/>
    </row>
    <row r="340" spans="1:4" x14ac:dyDescent="0.2">
      <c r="A340" s="419"/>
      <c r="B340" s="419"/>
      <c r="C340" s="419"/>
      <c r="D340" s="419"/>
    </row>
    <row r="341" spans="1:4" x14ac:dyDescent="0.2">
      <c r="A341" s="419"/>
      <c r="B341" s="419"/>
      <c r="C341" s="419"/>
      <c r="D341" s="419"/>
    </row>
    <row r="342" spans="1:4" x14ac:dyDescent="0.2">
      <c r="A342" s="419"/>
      <c r="B342" s="419"/>
      <c r="C342" s="419"/>
      <c r="D342" s="419"/>
    </row>
    <row r="343" spans="1:4" x14ac:dyDescent="0.2">
      <c r="A343" s="419"/>
      <c r="B343" s="419"/>
      <c r="C343" s="419"/>
      <c r="D343" s="419"/>
    </row>
    <row r="344" spans="1:4" x14ac:dyDescent="0.2">
      <c r="A344" s="419"/>
      <c r="B344" s="419"/>
      <c r="C344" s="419"/>
      <c r="D344" s="419"/>
    </row>
    <row r="345" spans="1:4" x14ac:dyDescent="0.2">
      <c r="A345" s="419"/>
      <c r="B345" s="419"/>
      <c r="C345" s="419"/>
      <c r="D345" s="419"/>
    </row>
    <row r="346" spans="1:4" x14ac:dyDescent="0.2">
      <c r="A346" s="419"/>
      <c r="B346" s="419"/>
      <c r="C346" s="419"/>
      <c r="D346" s="419"/>
    </row>
    <row r="347" spans="1:4" x14ac:dyDescent="0.2">
      <c r="A347" s="419"/>
      <c r="B347" s="419"/>
      <c r="C347" s="419"/>
      <c r="D347" s="419"/>
    </row>
    <row r="348" spans="1:4" x14ac:dyDescent="0.2">
      <c r="A348" s="419"/>
      <c r="B348" s="419"/>
      <c r="C348" s="419"/>
      <c r="D348" s="419"/>
    </row>
    <row r="349" spans="1:4" x14ac:dyDescent="0.2">
      <c r="A349" s="419"/>
      <c r="B349" s="419"/>
      <c r="C349" s="419"/>
      <c r="D349" s="419"/>
    </row>
    <row r="350" spans="1:4" x14ac:dyDescent="0.2">
      <c r="A350" s="419"/>
      <c r="B350" s="419"/>
      <c r="C350" s="419"/>
      <c r="D350" s="419"/>
    </row>
    <row r="351" spans="1:4" x14ac:dyDescent="0.2">
      <c r="A351" s="419"/>
      <c r="B351" s="419"/>
      <c r="C351" s="419"/>
      <c r="D351" s="419"/>
    </row>
    <row r="352" spans="1:4" x14ac:dyDescent="0.2">
      <c r="A352" s="419"/>
      <c r="B352" s="419"/>
      <c r="C352" s="419"/>
      <c r="D352" s="419"/>
    </row>
    <row r="353" spans="1:4" x14ac:dyDescent="0.2">
      <c r="A353" s="419"/>
      <c r="B353" s="419"/>
      <c r="C353" s="419"/>
      <c r="D353" s="419"/>
    </row>
    <row r="354" spans="1:4" x14ac:dyDescent="0.2">
      <c r="A354" s="419"/>
      <c r="B354" s="419"/>
      <c r="C354" s="419"/>
      <c r="D354" s="419"/>
    </row>
    <row r="355" spans="1:4" x14ac:dyDescent="0.2">
      <c r="A355" s="419"/>
      <c r="B355" s="419"/>
      <c r="C355" s="419"/>
      <c r="D355" s="419"/>
    </row>
    <row r="356" spans="1:4" x14ac:dyDescent="0.2">
      <c r="A356" s="419"/>
      <c r="B356" s="419"/>
      <c r="C356" s="419"/>
      <c r="D356" s="419"/>
    </row>
    <row r="357" spans="1:4" x14ac:dyDescent="0.2">
      <c r="A357" s="419"/>
      <c r="B357" s="419"/>
      <c r="C357" s="419"/>
      <c r="D357" s="419"/>
    </row>
    <row r="358" spans="1:4" x14ac:dyDescent="0.2">
      <c r="A358" s="419"/>
      <c r="B358" s="419"/>
      <c r="C358" s="419"/>
      <c r="D358" s="419"/>
    </row>
    <row r="359" spans="1:4" x14ac:dyDescent="0.2">
      <c r="A359" s="419"/>
      <c r="B359" s="419"/>
      <c r="C359" s="419"/>
      <c r="D359" s="419"/>
    </row>
    <row r="360" spans="1:4" x14ac:dyDescent="0.2">
      <c r="A360" s="419"/>
      <c r="B360" s="419"/>
      <c r="C360" s="419"/>
      <c r="D360" s="419"/>
    </row>
    <row r="361" spans="1:4" x14ac:dyDescent="0.2">
      <c r="A361" s="419"/>
      <c r="B361" s="419"/>
      <c r="C361" s="419"/>
      <c r="D361" s="419"/>
    </row>
    <row r="362" spans="1:4" x14ac:dyDescent="0.2">
      <c r="A362" s="419"/>
      <c r="B362" s="419"/>
      <c r="C362" s="419"/>
      <c r="D362" s="419"/>
    </row>
    <row r="363" spans="1:4" x14ac:dyDescent="0.2">
      <c r="A363" s="419"/>
      <c r="B363" s="419"/>
      <c r="C363" s="419"/>
      <c r="D363" s="419"/>
    </row>
    <row r="364" spans="1:4" x14ac:dyDescent="0.2">
      <c r="A364" s="419"/>
      <c r="B364" s="419"/>
      <c r="C364" s="419"/>
      <c r="D364" s="419"/>
    </row>
    <row r="365" spans="1:4" x14ac:dyDescent="0.2">
      <c r="A365" s="419"/>
      <c r="B365" s="419"/>
      <c r="C365" s="419"/>
      <c r="D365" s="419"/>
    </row>
    <row r="366" spans="1:4" x14ac:dyDescent="0.2">
      <c r="A366" s="419"/>
      <c r="B366" s="419"/>
      <c r="C366" s="419"/>
      <c r="D366" s="419"/>
    </row>
    <row r="367" spans="1:4" x14ac:dyDescent="0.2">
      <c r="A367" s="419"/>
      <c r="B367" s="419"/>
      <c r="C367" s="419"/>
      <c r="D367" s="419"/>
    </row>
    <row r="368" spans="1:4" x14ac:dyDescent="0.2">
      <c r="A368" s="419"/>
      <c r="B368" s="419"/>
      <c r="C368" s="419"/>
      <c r="D368" s="419"/>
    </row>
    <row r="369" spans="1:4" x14ac:dyDescent="0.2">
      <c r="A369" s="419"/>
      <c r="B369" s="419"/>
      <c r="C369" s="419"/>
      <c r="D369" s="419"/>
    </row>
    <row r="370" spans="1:4" x14ac:dyDescent="0.2">
      <c r="A370" s="419"/>
      <c r="B370" s="419"/>
      <c r="C370" s="419"/>
      <c r="D370" s="419"/>
    </row>
    <row r="371" spans="1:4" x14ac:dyDescent="0.2">
      <c r="A371" s="419"/>
      <c r="B371" s="419"/>
      <c r="C371" s="419"/>
      <c r="D371" s="419"/>
    </row>
    <row r="372" spans="1:4" x14ac:dyDescent="0.2">
      <c r="A372" s="419"/>
      <c r="B372" s="419"/>
      <c r="C372" s="419"/>
      <c r="D372" s="419"/>
    </row>
    <row r="373" spans="1:4" x14ac:dyDescent="0.2">
      <c r="A373" s="419"/>
      <c r="B373" s="419"/>
      <c r="C373" s="419"/>
      <c r="D373" s="419"/>
    </row>
    <row r="374" spans="1:4" x14ac:dyDescent="0.2">
      <c r="A374" s="419"/>
      <c r="B374" s="419"/>
      <c r="C374" s="419"/>
      <c r="D374" s="419"/>
    </row>
    <row r="375" spans="1:4" x14ac:dyDescent="0.2">
      <c r="A375" s="419"/>
      <c r="B375" s="419"/>
      <c r="C375" s="419"/>
      <c r="D375" s="419"/>
    </row>
    <row r="376" spans="1:4" x14ac:dyDescent="0.2">
      <c r="A376" s="419"/>
      <c r="B376" s="419"/>
      <c r="C376" s="419"/>
      <c r="D376" s="419"/>
    </row>
    <row r="377" spans="1:4" x14ac:dyDescent="0.2">
      <c r="A377" s="419"/>
      <c r="B377" s="419"/>
      <c r="C377" s="419"/>
      <c r="D377" s="419"/>
    </row>
    <row r="378" spans="1:4" x14ac:dyDescent="0.2">
      <c r="A378" s="419"/>
      <c r="B378" s="419"/>
      <c r="C378" s="419"/>
      <c r="D378" s="419"/>
    </row>
    <row r="379" spans="1:4" x14ac:dyDescent="0.2">
      <c r="A379" s="419"/>
      <c r="B379" s="419"/>
      <c r="C379" s="419"/>
      <c r="D379" s="419"/>
    </row>
    <row r="380" spans="1:4" x14ac:dyDescent="0.2">
      <c r="A380" s="419"/>
      <c r="B380" s="419"/>
      <c r="C380" s="419"/>
      <c r="D380" s="419"/>
    </row>
    <row r="381" spans="1:4" x14ac:dyDescent="0.2">
      <c r="A381" s="419"/>
      <c r="B381" s="419"/>
      <c r="C381" s="419"/>
      <c r="D381" s="419"/>
    </row>
    <row r="382" spans="1:4" x14ac:dyDescent="0.2">
      <c r="A382" s="419"/>
      <c r="B382" s="419"/>
      <c r="C382" s="419"/>
      <c r="D382" s="419"/>
    </row>
    <row r="383" spans="1:4" x14ac:dyDescent="0.2">
      <c r="A383" s="419"/>
      <c r="B383" s="419"/>
      <c r="C383" s="419"/>
      <c r="D383" s="419"/>
    </row>
    <row r="384" spans="1:4" x14ac:dyDescent="0.2">
      <c r="A384" s="419"/>
      <c r="B384" s="419"/>
      <c r="C384" s="419"/>
      <c r="D384" s="419"/>
    </row>
    <row r="385" spans="1:4" x14ac:dyDescent="0.2">
      <c r="A385" s="419"/>
      <c r="B385" s="419"/>
      <c r="C385" s="419"/>
      <c r="D385" s="419"/>
    </row>
    <row r="386" spans="1:4" x14ac:dyDescent="0.2">
      <c r="A386" s="419"/>
      <c r="B386" s="419"/>
      <c r="C386" s="419"/>
      <c r="D386" s="419"/>
    </row>
    <row r="387" spans="1:4" x14ac:dyDescent="0.2">
      <c r="A387" s="419"/>
      <c r="B387" s="419"/>
      <c r="C387" s="419"/>
      <c r="D387" s="419"/>
    </row>
    <row r="388" spans="1:4" x14ac:dyDescent="0.2">
      <c r="A388" s="419"/>
      <c r="B388" s="419"/>
      <c r="C388" s="419"/>
      <c r="D388" s="419"/>
    </row>
    <row r="389" spans="1:4" x14ac:dyDescent="0.2">
      <c r="A389" s="419"/>
      <c r="B389" s="419"/>
      <c r="C389" s="419"/>
      <c r="D389" s="419"/>
    </row>
    <row r="390" spans="1:4" x14ac:dyDescent="0.2">
      <c r="A390" s="419"/>
      <c r="B390" s="419"/>
      <c r="C390" s="419"/>
      <c r="D390" s="419"/>
    </row>
    <row r="391" spans="1:4" x14ac:dyDescent="0.2">
      <c r="A391" s="419"/>
      <c r="B391" s="419"/>
      <c r="C391" s="419"/>
      <c r="D391" s="419"/>
    </row>
    <row r="392" spans="1:4" x14ac:dyDescent="0.2">
      <c r="A392" s="419"/>
      <c r="B392" s="419"/>
      <c r="C392" s="419"/>
      <c r="D392" s="419"/>
    </row>
  </sheetData>
  <mergeCells count="3">
    <mergeCell ref="B2:C2"/>
    <mergeCell ref="B3:C3"/>
    <mergeCell ref="B4:C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r:id="rId1"/>
  <headerFooter alignWithMargins="0"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2060"/>
    <pageSetUpPr fitToPage="1"/>
  </sheetPr>
  <dimension ref="A2:R78"/>
  <sheetViews>
    <sheetView showGridLines="0" view="pageBreakPreview" zoomScale="90" zoomScaleNormal="55" zoomScaleSheetLayoutView="90" workbookViewId="0">
      <pane xSplit="4" ySplit="10" topLeftCell="E44" activePane="bottomRight" state="frozen"/>
      <selection activeCell="B7" sqref="B7:G7"/>
      <selection pane="topRight" activeCell="B7" sqref="B7:G7"/>
      <selection pane="bottomLeft" activeCell="B7" sqref="B7:G7"/>
      <selection pane="bottomRight" activeCell="N61" sqref="N61"/>
    </sheetView>
  </sheetViews>
  <sheetFormatPr defaultColWidth="9.140625" defaultRowHeight="15" x14ac:dyDescent="0.25"/>
  <cols>
    <col min="1" max="3" width="7.85546875" style="100" customWidth="1"/>
    <col min="4" max="4" width="52.5703125" style="35" customWidth="1"/>
    <col min="5" max="5" width="8.85546875" style="35" customWidth="1"/>
    <col min="6" max="6" width="12.42578125" style="82" customWidth="1"/>
    <col min="7" max="8" width="11" style="35" customWidth="1"/>
    <col min="9" max="9" width="13.5703125" style="35" customWidth="1"/>
    <col min="10" max="10" width="14.42578125" style="35" customWidth="1"/>
    <col min="11" max="11" width="14.140625" style="35" customWidth="1"/>
    <col min="12" max="12" width="18.140625" style="35" customWidth="1"/>
    <col min="13" max="13" width="8.7109375" style="35" customWidth="1"/>
    <col min="14" max="14" width="17" style="35" customWidth="1"/>
    <col min="15" max="15" width="8.7109375" style="35" customWidth="1"/>
    <col min="16" max="16" width="4" style="35" customWidth="1"/>
    <col min="17" max="17" width="36.7109375" style="35" customWidth="1"/>
    <col min="18" max="18" width="30.140625" style="35" customWidth="1"/>
    <col min="19" max="19" width="28.7109375" style="35" customWidth="1"/>
    <col min="20" max="16384" width="9.140625" style="35"/>
  </cols>
  <sheetData>
    <row r="2" spans="1:18" s="28" customFormat="1" ht="15.75" x14ac:dyDescent="0.25">
      <c r="A2" s="656"/>
      <c r="B2" s="657"/>
      <c r="C2" s="657"/>
      <c r="D2" s="657"/>
      <c r="E2" s="657"/>
      <c r="F2" s="657"/>
      <c r="G2" s="657"/>
      <c r="H2" s="657"/>
      <c r="I2" s="658"/>
      <c r="J2" s="227"/>
      <c r="K2" s="228"/>
      <c r="L2" s="228"/>
      <c r="M2" s="228"/>
      <c r="N2" s="228"/>
      <c r="O2" s="229"/>
      <c r="P2" s="26"/>
    </row>
    <row r="3" spans="1:18" s="28" customFormat="1" x14ac:dyDescent="0.25">
      <c r="A3" s="207"/>
      <c r="B3" s="387"/>
      <c r="C3" s="387" t="s">
        <v>4</v>
      </c>
      <c r="D3" s="59" t="str">
        <f>'Dados Gerais'!$E$10</f>
        <v>HCPA - CPE - Projeto Laboratórios de Pesquisa</v>
      </c>
      <c r="E3" s="59"/>
      <c r="F3" s="80"/>
      <c r="G3" s="59"/>
      <c r="H3" s="59"/>
      <c r="I3" s="220"/>
      <c r="J3" s="25"/>
      <c r="K3" s="26"/>
      <c r="L3" s="26"/>
      <c r="M3" s="26"/>
      <c r="N3" s="26"/>
      <c r="O3" s="27"/>
      <c r="P3" s="26"/>
    </row>
    <row r="4" spans="1:18" s="28" customFormat="1" x14ac:dyDescent="0.25">
      <c r="A4" s="207"/>
      <c r="B4" s="387"/>
      <c r="C4" s="387" t="s">
        <v>99</v>
      </c>
      <c r="D4" s="59" t="str">
        <f>'Dados Gerais'!$E$11</f>
        <v>CPE - 2º Pavimento</v>
      </c>
      <c r="E4" s="59"/>
      <c r="F4" s="81"/>
      <c r="G4" s="77"/>
      <c r="H4" s="77"/>
      <c r="I4" s="220"/>
      <c r="J4" s="25"/>
      <c r="K4" s="26"/>
      <c r="L4" s="26"/>
      <c r="M4" s="26"/>
      <c r="N4" s="26"/>
      <c r="O4" s="27"/>
      <c r="P4" s="26"/>
    </row>
    <row r="5" spans="1:18" s="30" customFormat="1" x14ac:dyDescent="0.25">
      <c r="A5" s="313"/>
      <c r="B5" s="388"/>
      <c r="C5" s="388" t="s">
        <v>67</v>
      </c>
      <c r="D5" s="230" t="str">
        <f>'Dados Gerais'!$E$12</f>
        <v>Porto Alegre / RS</v>
      </c>
      <c r="E5" s="231"/>
      <c r="F5" s="232"/>
      <c r="G5" s="231"/>
      <c r="H5" s="233"/>
      <c r="I5" s="234"/>
      <c r="J5" s="29"/>
      <c r="K5" s="58" t="s">
        <v>12</v>
      </c>
      <c r="L5" s="31" t="str">
        <f>'Dados Gerais'!$E$29</f>
        <v>R03</v>
      </c>
      <c r="M5" s="31"/>
      <c r="N5" s="31"/>
      <c r="O5" s="62"/>
      <c r="P5" s="76"/>
    </row>
    <row r="6" spans="1:18" s="32" customFormat="1" x14ac:dyDescent="0.25">
      <c r="A6" s="336"/>
      <c r="B6" s="389"/>
      <c r="C6" s="389"/>
      <c r="D6" s="222" t="str">
        <f>'Dados Gerais'!$E$22</f>
        <v>-</v>
      </c>
      <c r="E6" s="221" t="s">
        <v>13</v>
      </c>
      <c r="F6" s="223">
        <f>'Dados Gerais'!$D$24</f>
        <v>0.25</v>
      </c>
      <c r="G6" s="58" t="s">
        <v>62</v>
      </c>
      <c r="H6" s="346">
        <f>'Dados Gerais'!$E$18</f>
        <v>3</v>
      </c>
      <c r="I6" s="221"/>
      <c r="J6" s="217"/>
      <c r="K6" s="218" t="s">
        <v>11</v>
      </c>
      <c r="L6" s="31">
        <f>'Dados Gerais'!E26</f>
        <v>44426</v>
      </c>
      <c r="M6" s="31"/>
      <c r="N6" s="31"/>
      <c r="O6" s="219"/>
      <c r="P6" s="346"/>
      <c r="Q6" s="560"/>
      <c r="R6" s="560"/>
    </row>
    <row r="7" spans="1:18" s="28" customFormat="1" ht="17.25" x14ac:dyDescent="0.35">
      <c r="A7" s="651" t="s">
        <v>106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3"/>
      <c r="P7" s="561"/>
      <c r="Q7" s="562"/>
      <c r="R7" s="563"/>
    </row>
    <row r="8" spans="1:18" s="33" customFormat="1" ht="15" customHeight="1" x14ac:dyDescent="0.25">
      <c r="A8" s="665" t="s">
        <v>0</v>
      </c>
      <c r="B8" s="667" t="s">
        <v>44</v>
      </c>
      <c r="C8" s="667" t="s">
        <v>114</v>
      </c>
      <c r="D8" s="655" t="s">
        <v>1</v>
      </c>
      <c r="E8" s="655" t="s">
        <v>3</v>
      </c>
      <c r="F8" s="666" t="s">
        <v>2</v>
      </c>
      <c r="G8" s="661" t="s">
        <v>55</v>
      </c>
      <c r="H8" s="662"/>
      <c r="I8" s="235"/>
      <c r="J8" s="663" t="s">
        <v>54</v>
      </c>
      <c r="K8" s="664"/>
      <c r="L8" s="655" t="s">
        <v>84</v>
      </c>
      <c r="M8" s="655" t="s">
        <v>121</v>
      </c>
      <c r="N8" s="655" t="s">
        <v>120</v>
      </c>
      <c r="O8" s="654" t="s">
        <v>103</v>
      </c>
      <c r="P8" s="564"/>
      <c r="Q8" s="659"/>
      <c r="R8" s="565"/>
    </row>
    <row r="9" spans="1:18" s="28" customFormat="1" x14ac:dyDescent="0.25">
      <c r="A9" s="665"/>
      <c r="B9" s="666"/>
      <c r="C9" s="666"/>
      <c r="D9" s="655"/>
      <c r="E9" s="655">
        <v>15738</v>
      </c>
      <c r="F9" s="666">
        <v>15738</v>
      </c>
      <c r="G9" s="236" t="s">
        <v>8</v>
      </c>
      <c r="H9" s="236" t="s">
        <v>9</v>
      </c>
      <c r="I9" s="236" t="s">
        <v>10</v>
      </c>
      <c r="J9" s="236" t="s">
        <v>8</v>
      </c>
      <c r="K9" s="236" t="s">
        <v>9</v>
      </c>
      <c r="L9" s="655"/>
      <c r="M9" s="655"/>
      <c r="N9" s="655"/>
      <c r="O9" s="654"/>
      <c r="P9" s="564"/>
      <c r="Q9" s="660"/>
      <c r="R9" s="562"/>
    </row>
    <row r="10" spans="1:18" s="28" customFormat="1" ht="23.25" x14ac:dyDescent="0.25">
      <c r="A10" s="314" t="s">
        <v>37</v>
      </c>
      <c r="B10" s="390"/>
      <c r="C10" s="390"/>
      <c r="D10" s="315" t="s">
        <v>50</v>
      </c>
      <c r="E10" s="316"/>
      <c r="F10" s="317"/>
      <c r="G10" s="318"/>
      <c r="H10" s="318"/>
      <c r="I10" s="318"/>
      <c r="J10" s="319">
        <f>J11+J18</f>
        <v>12716.759999999998</v>
      </c>
      <c r="K10" s="319">
        <f>K11+K18</f>
        <v>20802.900000000001</v>
      </c>
      <c r="L10" s="319">
        <f>L11+L18</f>
        <v>33519.660000000003</v>
      </c>
      <c r="M10" s="319"/>
      <c r="N10" s="319">
        <f t="shared" ref="N10" si="0">N11+N18</f>
        <v>41899.589999999997</v>
      </c>
      <c r="O10" s="320">
        <f>+L10/Resumo!$D$33</f>
        <v>8.0483265613773849E-2</v>
      </c>
      <c r="P10" s="566" t="s">
        <v>86</v>
      </c>
      <c r="Q10" s="567"/>
      <c r="R10" s="563"/>
    </row>
    <row r="11" spans="1:18" s="47" customFormat="1" ht="15.75" x14ac:dyDescent="0.25">
      <c r="A11" s="338" t="s">
        <v>264</v>
      </c>
      <c r="B11" s="391"/>
      <c r="C11" s="391"/>
      <c r="D11" s="165" t="s">
        <v>49</v>
      </c>
      <c r="E11" s="166"/>
      <c r="F11" s="167"/>
      <c r="G11" s="168"/>
      <c r="H11" s="168"/>
      <c r="I11" s="168"/>
      <c r="J11" s="168">
        <f>SUM(J12:J17)</f>
        <v>7759.8899999999994</v>
      </c>
      <c r="K11" s="168">
        <f t="shared" ref="K11:L11" si="1">SUM(K12:K17)</f>
        <v>0</v>
      </c>
      <c r="L11" s="168">
        <f t="shared" si="1"/>
        <v>7759.8899999999994</v>
      </c>
      <c r="M11" s="168"/>
      <c r="N11" s="168">
        <f t="shared" ref="N11" si="2">SUM(N12:N17)</f>
        <v>9699.869999999999</v>
      </c>
      <c r="O11" s="169">
        <f>+L11/Resumo!$D$33</f>
        <v>1.8632088989078872E-2</v>
      </c>
      <c r="P11" s="568" t="s">
        <v>86</v>
      </c>
      <c r="Q11" s="569"/>
      <c r="R11" s="569"/>
    </row>
    <row r="12" spans="1:18" s="72" customFormat="1" x14ac:dyDescent="0.25">
      <c r="A12" s="524" t="s">
        <v>266</v>
      </c>
      <c r="B12" s="519" t="s">
        <v>94</v>
      </c>
      <c r="C12" s="519">
        <v>93567</v>
      </c>
      <c r="D12" s="520" t="s">
        <v>533</v>
      </c>
      <c r="E12" s="525" t="s">
        <v>72</v>
      </c>
      <c r="F12" s="530">
        <f t="shared" ref="F12:F13" si="3">$H$6</f>
        <v>3</v>
      </c>
      <c r="G12" s="102">
        <f>18901.61*0.05</f>
        <v>945.08050000000003</v>
      </c>
      <c r="H12" s="102">
        <v>0</v>
      </c>
      <c r="I12" s="102">
        <f t="shared" ref="I12" si="4">+ROUND(G12+H12,2)</f>
        <v>945.08</v>
      </c>
      <c r="J12" s="102">
        <f t="shared" ref="J12" si="5">ROUND(G12*F12,2)</f>
        <v>2835.24</v>
      </c>
      <c r="K12" s="102">
        <f t="shared" ref="K12" si="6">ROUND(H12*F12,2)</f>
        <v>0</v>
      </c>
      <c r="L12" s="102">
        <f t="shared" ref="L12" si="7">ROUND(I12*F12,2)</f>
        <v>2835.24</v>
      </c>
      <c r="M12" s="410">
        <f>$F$6</f>
        <v>0.25</v>
      </c>
      <c r="N12" s="408">
        <f t="shared" ref="N12" si="8">ROUND(L12*(1+M12),2)</f>
        <v>3544.05</v>
      </c>
      <c r="O12" s="171">
        <f>+L12/Resumo!$D$33</f>
        <v>6.807627941297619E-3</v>
      </c>
      <c r="P12" s="104"/>
      <c r="Q12" s="333"/>
    </row>
    <row r="13" spans="1:18" s="72" customFormat="1" x14ac:dyDescent="0.25">
      <c r="A13" s="524" t="s">
        <v>267</v>
      </c>
      <c r="B13" s="519" t="s">
        <v>94</v>
      </c>
      <c r="C13" s="519">
        <v>101390</v>
      </c>
      <c r="D13" s="520" t="s">
        <v>132</v>
      </c>
      <c r="E13" s="525" t="s">
        <v>72</v>
      </c>
      <c r="F13" s="530">
        <f t="shared" si="3"/>
        <v>3</v>
      </c>
      <c r="G13" s="102">
        <f>4772.2*0.1</f>
        <v>477.22</v>
      </c>
      <c r="H13" s="102">
        <v>0</v>
      </c>
      <c r="I13" s="102">
        <f t="shared" ref="I13:I17" si="9">+ROUND(G13+H13,2)</f>
        <v>477.22</v>
      </c>
      <c r="J13" s="102">
        <f t="shared" ref="J13:J17" si="10">ROUND(G13*F13,2)</f>
        <v>1431.66</v>
      </c>
      <c r="K13" s="102">
        <f t="shared" ref="K13:K17" si="11">ROUND(H13*F13,2)</f>
        <v>0</v>
      </c>
      <c r="L13" s="102">
        <f t="shared" ref="L13:L17" si="12">ROUND(I13*F13,2)</f>
        <v>1431.66</v>
      </c>
      <c r="M13" s="410">
        <f t="shared" ref="M13:M17" si="13">$F$6</f>
        <v>0.25</v>
      </c>
      <c r="N13" s="408">
        <f t="shared" ref="N13:N17" si="14">ROUND(L13*(1+M13),2)</f>
        <v>1789.58</v>
      </c>
      <c r="O13" s="171">
        <f>+L13/Resumo!$D$33</f>
        <v>3.4375250837453443E-3</v>
      </c>
      <c r="P13" s="104"/>
      <c r="Q13" s="333"/>
    </row>
    <row r="14" spans="1:18" s="72" customFormat="1" x14ac:dyDescent="0.25">
      <c r="A14" s="524" t="s">
        <v>268</v>
      </c>
      <c r="B14" s="519" t="s">
        <v>94</v>
      </c>
      <c r="C14" s="519">
        <v>94295</v>
      </c>
      <c r="D14" s="520" t="s">
        <v>534</v>
      </c>
      <c r="E14" s="525" t="s">
        <v>72</v>
      </c>
      <c r="F14" s="530">
        <f>$H$6</f>
        <v>3</v>
      </c>
      <c r="G14" s="102">
        <f>11643.3*0.1</f>
        <v>1164.33</v>
      </c>
      <c r="H14" s="102">
        <v>0</v>
      </c>
      <c r="I14" s="102">
        <f t="shared" si="9"/>
        <v>1164.33</v>
      </c>
      <c r="J14" s="102">
        <f t="shared" si="10"/>
        <v>3492.99</v>
      </c>
      <c r="K14" s="102">
        <f t="shared" si="11"/>
        <v>0</v>
      </c>
      <c r="L14" s="102">
        <f t="shared" si="12"/>
        <v>3492.99</v>
      </c>
      <c r="M14" s="410">
        <f t="shared" si="13"/>
        <v>0.25</v>
      </c>
      <c r="N14" s="408">
        <f t="shared" si="14"/>
        <v>4366.24</v>
      </c>
      <c r="O14" s="171">
        <f>+L14/Resumo!$D$33</f>
        <v>8.3869359640359083E-3</v>
      </c>
      <c r="P14" s="104"/>
      <c r="Q14" s="333"/>
    </row>
    <row r="15" spans="1:18" s="72" customFormat="1" x14ac:dyDescent="0.25">
      <c r="A15" s="524" t="s">
        <v>269</v>
      </c>
      <c r="B15" s="518">
        <v>0</v>
      </c>
      <c r="C15" s="518">
        <v>0</v>
      </c>
      <c r="D15" s="520" t="s">
        <v>373</v>
      </c>
      <c r="E15" s="521">
        <v>0</v>
      </c>
      <c r="F15" s="530">
        <v>0</v>
      </c>
      <c r="G15" s="102">
        <v>0</v>
      </c>
      <c r="H15" s="102">
        <v>0</v>
      </c>
      <c r="I15" s="102">
        <f>+ROUND(G15+H15,2)</f>
        <v>0</v>
      </c>
      <c r="J15" s="102">
        <f>ROUND(G15*F15,2)</f>
        <v>0</v>
      </c>
      <c r="K15" s="102">
        <f>ROUND(H15*F15,2)</f>
        <v>0</v>
      </c>
      <c r="L15" s="102">
        <f>ROUND(I15*F15,2)</f>
        <v>0</v>
      </c>
      <c r="M15" s="410">
        <f t="shared" si="13"/>
        <v>0.25</v>
      </c>
      <c r="N15" s="408">
        <f t="shared" si="14"/>
        <v>0</v>
      </c>
      <c r="O15" s="171">
        <f>+L15/Resumo!$D$33</f>
        <v>0</v>
      </c>
      <c r="P15" s="104"/>
      <c r="Q15" s="333"/>
    </row>
    <row r="16" spans="1:18" s="72" customFormat="1" x14ac:dyDescent="0.25">
      <c r="A16" s="524" t="s">
        <v>270</v>
      </c>
      <c r="B16" s="518">
        <v>0</v>
      </c>
      <c r="C16" s="518">
        <v>0</v>
      </c>
      <c r="D16" s="520" t="s">
        <v>372</v>
      </c>
      <c r="E16" s="521">
        <v>0</v>
      </c>
      <c r="F16" s="530">
        <v>0</v>
      </c>
      <c r="G16" s="102">
        <v>0</v>
      </c>
      <c r="H16" s="102">
        <v>0</v>
      </c>
      <c r="I16" s="102">
        <f>+ROUND(G16+H16,2)</f>
        <v>0</v>
      </c>
      <c r="J16" s="102">
        <f>ROUND(G16*F16,2)</f>
        <v>0</v>
      </c>
      <c r="K16" s="102">
        <f>ROUND(H16*F16,2)</f>
        <v>0</v>
      </c>
      <c r="L16" s="102">
        <f>ROUND(I16*F16,2)</f>
        <v>0</v>
      </c>
      <c r="M16" s="410">
        <f t="shared" si="13"/>
        <v>0.25</v>
      </c>
      <c r="N16" s="408">
        <f t="shared" si="14"/>
        <v>0</v>
      </c>
      <c r="O16" s="171">
        <f>+L16/Resumo!$D$33</f>
        <v>0</v>
      </c>
      <c r="P16" s="104"/>
      <c r="Q16" s="333"/>
    </row>
    <row r="17" spans="1:18" s="72" customFormat="1" x14ac:dyDescent="0.25">
      <c r="A17" s="524" t="s">
        <v>271</v>
      </c>
      <c r="B17" s="519" t="s">
        <v>113</v>
      </c>
      <c r="C17" s="519" t="s">
        <v>113</v>
      </c>
      <c r="D17" s="520" t="s">
        <v>131</v>
      </c>
      <c r="E17" s="521">
        <v>0</v>
      </c>
      <c r="F17" s="530">
        <v>0</v>
      </c>
      <c r="G17" s="102">
        <v>0</v>
      </c>
      <c r="H17" s="102">
        <v>0</v>
      </c>
      <c r="I17" s="102">
        <f t="shared" si="9"/>
        <v>0</v>
      </c>
      <c r="J17" s="102">
        <f t="shared" si="10"/>
        <v>0</v>
      </c>
      <c r="K17" s="102">
        <f t="shared" si="11"/>
        <v>0</v>
      </c>
      <c r="L17" s="102">
        <f t="shared" si="12"/>
        <v>0</v>
      </c>
      <c r="M17" s="410">
        <f t="shared" si="13"/>
        <v>0.25</v>
      </c>
      <c r="N17" s="408">
        <f t="shared" si="14"/>
        <v>0</v>
      </c>
      <c r="O17" s="171">
        <f>+L17/Resumo!$D$33</f>
        <v>0</v>
      </c>
      <c r="P17" s="104"/>
      <c r="Q17" s="333"/>
    </row>
    <row r="18" spans="1:18" s="47" customFormat="1" ht="31.5" x14ac:dyDescent="0.25">
      <c r="A18" s="339" t="s">
        <v>265</v>
      </c>
      <c r="B18" s="393"/>
      <c r="C18" s="393"/>
      <c r="D18" s="63" t="s">
        <v>38</v>
      </c>
      <c r="E18" s="132"/>
      <c r="F18" s="45"/>
      <c r="G18" s="45"/>
      <c r="H18" s="45"/>
      <c r="I18" s="45"/>
      <c r="J18" s="45">
        <f>J19+J28+J35+J31+J55+J44+J49</f>
        <v>4956.87</v>
      </c>
      <c r="K18" s="45">
        <f>K19+K28+K35+K31+K55+K44+K49</f>
        <v>20802.900000000001</v>
      </c>
      <c r="L18" s="45">
        <f>L19+L28+L35+L31+L55+L44+L49</f>
        <v>25759.77</v>
      </c>
      <c r="M18" s="45"/>
      <c r="N18" s="45">
        <f>N19+N28+N35+N31+N55+N44+N49</f>
        <v>32199.719999999998</v>
      </c>
      <c r="O18" s="172">
        <f>+L18/Resumo!$D$33</f>
        <v>6.185117662469497E-2</v>
      </c>
      <c r="P18" s="104" t="s">
        <v>86</v>
      </c>
      <c r="Q18" s="333"/>
      <c r="R18" s="569"/>
    </row>
    <row r="19" spans="1:18" s="47" customFormat="1" x14ac:dyDescent="0.25">
      <c r="A19" s="106" t="s">
        <v>272</v>
      </c>
      <c r="B19" s="392"/>
      <c r="C19" s="392"/>
      <c r="D19" s="65" t="s">
        <v>104</v>
      </c>
      <c r="E19" s="133"/>
      <c r="F19" s="68"/>
      <c r="G19" s="68"/>
      <c r="H19" s="68"/>
      <c r="I19" s="68"/>
      <c r="J19" s="68">
        <f>SUM(J20:J27)</f>
        <v>2292.4899999999998</v>
      </c>
      <c r="K19" s="68">
        <f>SUM(K20:K27)</f>
        <v>13119.45</v>
      </c>
      <c r="L19" s="68">
        <f>SUM(L20:L27)</f>
        <v>15411.94</v>
      </c>
      <c r="M19" s="68"/>
      <c r="N19" s="68">
        <f>SUM(N20:N27)</f>
        <v>19264.93</v>
      </c>
      <c r="O19" s="170">
        <f>+L19/Resumo!$D$33</f>
        <v>3.7005245895798039E-2</v>
      </c>
      <c r="P19" s="104" t="s">
        <v>86</v>
      </c>
      <c r="Q19" s="333"/>
      <c r="R19" s="570"/>
    </row>
    <row r="20" spans="1:18" s="72" customFormat="1" x14ac:dyDescent="0.25">
      <c r="A20" s="524" t="s">
        <v>273</v>
      </c>
      <c r="B20" s="519" t="s">
        <v>113</v>
      </c>
      <c r="C20" s="519" t="s">
        <v>113</v>
      </c>
      <c r="D20" s="520" t="s">
        <v>377</v>
      </c>
      <c r="E20" s="521">
        <v>0</v>
      </c>
      <c r="F20" s="518">
        <v>0</v>
      </c>
      <c r="G20" s="518">
        <v>0</v>
      </c>
      <c r="H20" s="102">
        <v>0</v>
      </c>
      <c r="I20" s="102">
        <f t="shared" ref="I20" si="15">+ROUND(G20+H20,2)</f>
        <v>0</v>
      </c>
      <c r="J20" s="102">
        <f t="shared" ref="J20" si="16">ROUND(G20*F20,2)</f>
        <v>0</v>
      </c>
      <c r="K20" s="102">
        <f t="shared" ref="K20" si="17">ROUND(H20*F20,2)</f>
        <v>0</v>
      </c>
      <c r="L20" s="102">
        <f t="shared" ref="L20" si="18">ROUND(I20*F20,2)</f>
        <v>0</v>
      </c>
      <c r="M20" s="410">
        <f t="shared" ref="M20:M27" si="19">$F$6</f>
        <v>0.25</v>
      </c>
      <c r="N20" s="408">
        <f t="shared" ref="N20" si="20">ROUND(L20*(1+M20),2)</f>
        <v>0</v>
      </c>
      <c r="O20" s="171">
        <f>+L20/Resumo!$D$33</f>
        <v>0</v>
      </c>
      <c r="P20" s="104"/>
      <c r="Q20" s="333"/>
    </row>
    <row r="21" spans="1:18" s="72" customFormat="1" ht="30" x14ac:dyDescent="0.25">
      <c r="A21" s="524" t="s">
        <v>274</v>
      </c>
      <c r="B21" s="519" t="s">
        <v>113</v>
      </c>
      <c r="C21" s="519" t="s">
        <v>113</v>
      </c>
      <c r="D21" s="520" t="s">
        <v>378</v>
      </c>
      <c r="E21" s="521">
        <v>0</v>
      </c>
      <c r="F21" s="518">
        <v>0</v>
      </c>
      <c r="G21" s="518">
        <v>0</v>
      </c>
      <c r="H21" s="102">
        <v>0</v>
      </c>
      <c r="I21" s="102">
        <f t="shared" ref="I21:I27" si="21">+ROUND(G21+H21,2)</f>
        <v>0</v>
      </c>
      <c r="J21" s="102">
        <f t="shared" ref="J21:J27" si="22">ROUND(G21*F21,2)</f>
        <v>0</v>
      </c>
      <c r="K21" s="102">
        <f t="shared" ref="K21:K27" si="23">ROUND(H21*F21,2)</f>
        <v>0</v>
      </c>
      <c r="L21" s="102">
        <f t="shared" ref="L21:L27" si="24">ROUND(I21*F21,2)</f>
        <v>0</v>
      </c>
      <c r="M21" s="410">
        <f t="shared" si="19"/>
        <v>0.25</v>
      </c>
      <c r="N21" s="408">
        <f t="shared" ref="N21:N27" si="25">ROUND(L21*(1+M21),2)</f>
        <v>0</v>
      </c>
      <c r="O21" s="171">
        <f>+L21/Resumo!$D$33</f>
        <v>0</v>
      </c>
      <c r="P21" s="104"/>
      <c r="Q21" s="333"/>
    </row>
    <row r="22" spans="1:18" s="72" customFormat="1" ht="30" x14ac:dyDescent="0.25">
      <c r="A22" s="524" t="s">
        <v>275</v>
      </c>
      <c r="B22" s="519" t="s">
        <v>94</v>
      </c>
      <c r="C22" s="519">
        <v>98458</v>
      </c>
      <c r="D22" s="520" t="s">
        <v>941</v>
      </c>
      <c r="E22" s="521" t="s">
        <v>61</v>
      </c>
      <c r="F22" s="530">
        <v>120</v>
      </c>
      <c r="G22" s="102">
        <v>13.15</v>
      </c>
      <c r="H22" s="102">
        <v>93.11</v>
      </c>
      <c r="I22" s="102">
        <f t="shared" si="21"/>
        <v>106.26</v>
      </c>
      <c r="J22" s="102">
        <f t="shared" si="22"/>
        <v>1578</v>
      </c>
      <c r="K22" s="102">
        <f t="shared" si="23"/>
        <v>11173.2</v>
      </c>
      <c r="L22" s="102">
        <f t="shared" si="24"/>
        <v>12751.2</v>
      </c>
      <c r="M22" s="410">
        <f t="shared" si="19"/>
        <v>0.25</v>
      </c>
      <c r="N22" s="408">
        <f t="shared" si="25"/>
        <v>15939</v>
      </c>
      <c r="O22" s="171">
        <f>+L22/Resumo!$D$33</f>
        <v>3.0616605791775723E-2</v>
      </c>
      <c r="P22" s="104"/>
      <c r="Q22" s="333"/>
    </row>
    <row r="23" spans="1:18" s="72" customFormat="1" x14ac:dyDescent="0.25">
      <c r="A23" s="524" t="s">
        <v>276</v>
      </c>
      <c r="B23" s="518">
        <v>0</v>
      </c>
      <c r="C23" s="518">
        <v>0</v>
      </c>
      <c r="D23" s="520" t="s">
        <v>152</v>
      </c>
      <c r="E23" s="521">
        <v>0</v>
      </c>
      <c r="F23" s="530">
        <v>0</v>
      </c>
      <c r="G23" s="102">
        <v>0</v>
      </c>
      <c r="H23" s="102">
        <v>0</v>
      </c>
      <c r="I23" s="102">
        <f t="shared" si="21"/>
        <v>0</v>
      </c>
      <c r="J23" s="102">
        <f t="shared" si="22"/>
        <v>0</v>
      </c>
      <c r="K23" s="102">
        <f t="shared" si="23"/>
        <v>0</v>
      </c>
      <c r="L23" s="102">
        <f t="shared" si="24"/>
        <v>0</v>
      </c>
      <c r="M23" s="410">
        <f t="shared" si="19"/>
        <v>0.25</v>
      </c>
      <c r="N23" s="408">
        <f t="shared" si="25"/>
        <v>0</v>
      </c>
      <c r="O23" s="171">
        <f>+L23/Resumo!$D$33</f>
        <v>0</v>
      </c>
      <c r="P23" s="104"/>
      <c r="Q23" s="333"/>
    </row>
    <row r="24" spans="1:18" s="72" customFormat="1" x14ac:dyDescent="0.25">
      <c r="A24" s="524" t="s">
        <v>277</v>
      </c>
      <c r="B24" s="519" t="s">
        <v>115</v>
      </c>
      <c r="C24" s="519" t="str">
        <f>A24</f>
        <v>1.2.1.5</v>
      </c>
      <c r="D24" s="520" t="s">
        <v>153</v>
      </c>
      <c r="E24" s="525" t="s">
        <v>61</v>
      </c>
      <c r="F24" s="530">
        <v>1</v>
      </c>
      <c r="G24" s="102">
        <f>(ROUND(VLOOKUP(A24,Comp!$A$1:$M$23042,13,0),2))</f>
        <v>30.09</v>
      </c>
      <c r="H24" s="102">
        <f>ROUND(VLOOKUP(A24,Comp!$A$1:$M$23042,8,0),2)</f>
        <v>236.25</v>
      </c>
      <c r="I24" s="102">
        <f t="shared" si="21"/>
        <v>266.33999999999997</v>
      </c>
      <c r="J24" s="102">
        <f t="shared" si="22"/>
        <v>30.09</v>
      </c>
      <c r="K24" s="102">
        <f t="shared" si="23"/>
        <v>236.25</v>
      </c>
      <c r="L24" s="102">
        <f t="shared" si="24"/>
        <v>266.33999999999997</v>
      </c>
      <c r="M24" s="410">
        <f t="shared" si="19"/>
        <v>0.25</v>
      </c>
      <c r="N24" s="408">
        <f t="shared" si="25"/>
        <v>332.93</v>
      </c>
      <c r="O24" s="171">
        <f>+L24/Resumo!$D$33</f>
        <v>6.3950269673297775E-4</v>
      </c>
      <c r="P24" s="104"/>
      <c r="Q24" s="333"/>
    </row>
    <row r="25" spans="1:18" s="72" customFormat="1" ht="30" x14ac:dyDescent="0.25">
      <c r="A25" s="524" t="s">
        <v>278</v>
      </c>
      <c r="B25" s="519" t="s">
        <v>115</v>
      </c>
      <c r="C25" s="519" t="str">
        <f>A25</f>
        <v>1.2.1.6</v>
      </c>
      <c r="D25" s="520" t="s">
        <v>537</v>
      </c>
      <c r="E25" s="521" t="s">
        <v>72</v>
      </c>
      <c r="F25" s="530">
        <f>$H$6</f>
        <v>3</v>
      </c>
      <c r="G25" s="102">
        <f>(ROUND(VLOOKUP(A25,Comp!$A$1:$M$23042,13,0),2))</f>
        <v>0</v>
      </c>
      <c r="H25" s="102">
        <f>ROUND(VLOOKUP(A25,Comp!$A$1:$M$23042,8,0),2)</f>
        <v>570</v>
      </c>
      <c r="I25" s="102">
        <f t="shared" si="21"/>
        <v>570</v>
      </c>
      <c r="J25" s="102">
        <f t="shared" si="22"/>
        <v>0</v>
      </c>
      <c r="K25" s="102">
        <f t="shared" si="23"/>
        <v>1710</v>
      </c>
      <c r="L25" s="102">
        <f t="shared" si="24"/>
        <v>1710</v>
      </c>
      <c r="M25" s="410">
        <f t="shared" si="19"/>
        <v>0.25</v>
      </c>
      <c r="N25" s="408">
        <f t="shared" si="25"/>
        <v>2137.5</v>
      </c>
      <c r="O25" s="171">
        <f>+L25/Resumo!$D$33</f>
        <v>4.1058406976548474E-3</v>
      </c>
      <c r="P25" s="104"/>
      <c r="Q25" s="333"/>
    </row>
    <row r="26" spans="1:18" s="72" customFormat="1" ht="30" x14ac:dyDescent="0.25">
      <c r="A26" s="524" t="s">
        <v>279</v>
      </c>
      <c r="B26" s="518">
        <v>0</v>
      </c>
      <c r="C26" s="518">
        <v>0</v>
      </c>
      <c r="D26" s="520" t="s">
        <v>161</v>
      </c>
      <c r="E26" s="521">
        <v>0</v>
      </c>
      <c r="F26" s="530">
        <v>0</v>
      </c>
      <c r="G26" s="102">
        <v>0</v>
      </c>
      <c r="H26" s="102">
        <v>0</v>
      </c>
      <c r="I26" s="102">
        <f t="shared" si="21"/>
        <v>0</v>
      </c>
      <c r="J26" s="102">
        <f t="shared" si="22"/>
        <v>0</v>
      </c>
      <c r="K26" s="102">
        <f t="shared" si="23"/>
        <v>0</v>
      </c>
      <c r="L26" s="102">
        <f t="shared" si="24"/>
        <v>0</v>
      </c>
      <c r="M26" s="410">
        <f t="shared" si="19"/>
        <v>0.25</v>
      </c>
      <c r="N26" s="408">
        <f t="shared" si="25"/>
        <v>0</v>
      </c>
      <c r="O26" s="171">
        <f>+L26/Resumo!$D$33</f>
        <v>0</v>
      </c>
      <c r="P26" s="104"/>
      <c r="Q26" s="333"/>
    </row>
    <row r="27" spans="1:18" s="72" customFormat="1" x14ac:dyDescent="0.25">
      <c r="A27" s="524" t="s">
        <v>280</v>
      </c>
      <c r="B27" s="519" t="s">
        <v>115</v>
      </c>
      <c r="C27" s="519" t="str">
        <f>A27</f>
        <v>1.2.1.8</v>
      </c>
      <c r="D27" s="520" t="s">
        <v>379</v>
      </c>
      <c r="E27" s="525" t="s">
        <v>46</v>
      </c>
      <c r="F27" s="530">
        <v>1</v>
      </c>
      <c r="G27" s="102">
        <f>(ROUND(VLOOKUP(A27,Comp!$A$1:$M$23042,13,0),2))</f>
        <v>684.4</v>
      </c>
      <c r="H27" s="102">
        <f>ROUND(VLOOKUP(A27,Comp!$A$1:$M$23042,8,0),2)</f>
        <v>0</v>
      </c>
      <c r="I27" s="102">
        <f t="shared" si="21"/>
        <v>684.4</v>
      </c>
      <c r="J27" s="102">
        <f t="shared" si="22"/>
        <v>684.4</v>
      </c>
      <c r="K27" s="102">
        <f t="shared" si="23"/>
        <v>0</v>
      </c>
      <c r="L27" s="102">
        <f t="shared" si="24"/>
        <v>684.4</v>
      </c>
      <c r="M27" s="410">
        <f t="shared" si="19"/>
        <v>0.25</v>
      </c>
      <c r="N27" s="408">
        <f t="shared" si="25"/>
        <v>855.5</v>
      </c>
      <c r="O27" s="171">
        <f>+L27/Resumo!$D$33</f>
        <v>1.6432967096344897E-3</v>
      </c>
      <c r="P27" s="104"/>
      <c r="Q27" s="333"/>
    </row>
    <row r="28" spans="1:18" s="47" customFormat="1" x14ac:dyDescent="0.25">
      <c r="A28" s="106" t="s">
        <v>281</v>
      </c>
      <c r="B28" s="392"/>
      <c r="C28" s="392"/>
      <c r="D28" s="65" t="s">
        <v>105</v>
      </c>
      <c r="E28" s="133"/>
      <c r="F28" s="68"/>
      <c r="G28" s="68"/>
      <c r="H28" s="68"/>
      <c r="I28" s="68"/>
      <c r="J28" s="68">
        <f>SUM(J29:J30)</f>
        <v>4.28</v>
      </c>
      <c r="K28" s="68">
        <f>SUM(K29:K30)</f>
        <v>193.27</v>
      </c>
      <c r="L28" s="68">
        <f>SUM(L29:L30)</f>
        <v>197.55</v>
      </c>
      <c r="M28" s="68"/>
      <c r="N28" s="68">
        <f>SUM(N29:N30)</f>
        <v>246.94</v>
      </c>
      <c r="O28" s="170">
        <f>+L28/Resumo!$D$33</f>
        <v>4.7433264901854686E-4</v>
      </c>
      <c r="P28" s="104" t="s">
        <v>86</v>
      </c>
      <c r="Q28" s="333"/>
      <c r="R28" s="570"/>
    </row>
    <row r="29" spans="1:18" s="72" customFormat="1" x14ac:dyDescent="0.25">
      <c r="A29" s="524" t="s">
        <v>282</v>
      </c>
      <c r="B29" s="518" t="s">
        <v>115</v>
      </c>
      <c r="C29" s="518" t="str">
        <f t="shared" ref="C29" si="26">A29</f>
        <v>1.2.2.1</v>
      </c>
      <c r="D29" s="520" t="s">
        <v>162</v>
      </c>
      <c r="E29" s="525" t="s">
        <v>46</v>
      </c>
      <c r="F29" s="530">
        <v>1</v>
      </c>
      <c r="G29" s="102">
        <f>(ROUND(VLOOKUP(A29,Comp!$A$1:$M$23042,13,0),2))</f>
        <v>4.28</v>
      </c>
      <c r="H29" s="102">
        <f>ROUND(VLOOKUP(A29,Comp!$A$1:$M$23042,8,0),2)</f>
        <v>193.27</v>
      </c>
      <c r="I29" s="102">
        <f t="shared" ref="I29:I30" si="27">+ROUND(G29+H29,2)</f>
        <v>197.55</v>
      </c>
      <c r="J29" s="102">
        <f t="shared" ref="J29:J30" si="28">ROUND(G29*F29,2)</f>
        <v>4.28</v>
      </c>
      <c r="K29" s="102">
        <f t="shared" ref="K29:K30" si="29">ROUND(H29*F29,2)</f>
        <v>193.27</v>
      </c>
      <c r="L29" s="102">
        <f t="shared" ref="L29:L30" si="30">ROUND(I29*F29,2)</f>
        <v>197.55</v>
      </c>
      <c r="M29" s="410">
        <f t="shared" ref="M29:M30" si="31">$F$6</f>
        <v>0.25</v>
      </c>
      <c r="N29" s="408">
        <f t="shared" ref="N29:N30" si="32">ROUND(L29*(1+M29),2)</f>
        <v>246.94</v>
      </c>
      <c r="O29" s="171">
        <f>+L29/Resumo!$D$33</f>
        <v>4.7433264901854686E-4</v>
      </c>
      <c r="P29" s="104"/>
      <c r="Q29" s="333"/>
      <c r="R29" s="120"/>
    </row>
    <row r="30" spans="1:18" s="72" customFormat="1" ht="30" x14ac:dyDescent="0.25">
      <c r="A30" s="524" t="s">
        <v>283</v>
      </c>
      <c r="B30" s="519" t="s">
        <v>113</v>
      </c>
      <c r="C30" s="519" t="s">
        <v>113</v>
      </c>
      <c r="D30" s="520" t="s">
        <v>371</v>
      </c>
      <c r="E30" s="521">
        <v>0</v>
      </c>
      <c r="F30" s="530">
        <v>0</v>
      </c>
      <c r="G30" s="102">
        <v>0</v>
      </c>
      <c r="H30" s="102">
        <v>0</v>
      </c>
      <c r="I30" s="102">
        <f t="shared" si="27"/>
        <v>0</v>
      </c>
      <c r="J30" s="102">
        <f t="shared" si="28"/>
        <v>0</v>
      </c>
      <c r="K30" s="102">
        <f t="shared" si="29"/>
        <v>0</v>
      </c>
      <c r="L30" s="102">
        <f t="shared" si="30"/>
        <v>0</v>
      </c>
      <c r="M30" s="410">
        <f t="shared" si="31"/>
        <v>0.25</v>
      </c>
      <c r="N30" s="408">
        <f t="shared" si="32"/>
        <v>0</v>
      </c>
      <c r="O30" s="171">
        <f>+L30/Resumo!$D$33</f>
        <v>0</v>
      </c>
      <c r="P30" s="104"/>
      <c r="Q30" s="333"/>
      <c r="R30" s="120"/>
    </row>
    <row r="31" spans="1:18" s="47" customFormat="1" x14ac:dyDescent="0.25">
      <c r="A31" s="106" t="s">
        <v>284</v>
      </c>
      <c r="B31" s="392"/>
      <c r="C31" s="392"/>
      <c r="D31" s="65" t="s">
        <v>64</v>
      </c>
      <c r="E31" s="133"/>
      <c r="F31" s="68"/>
      <c r="G31" s="68"/>
      <c r="H31" s="68"/>
      <c r="I31" s="68"/>
      <c r="J31" s="68">
        <f>SUM(J32:J34)</f>
        <v>1026.5999999999999</v>
      </c>
      <c r="K31" s="68">
        <f t="shared" ref="K31:N31" si="33">SUM(K32:K34)</f>
        <v>5180</v>
      </c>
      <c r="L31" s="68">
        <f t="shared" si="33"/>
        <v>6206.6</v>
      </c>
      <c r="M31" s="68"/>
      <c r="N31" s="68">
        <f t="shared" si="33"/>
        <v>7758.25</v>
      </c>
      <c r="O31" s="170">
        <f>+L31/Resumo!$D$33</f>
        <v>1.4902520978985132E-2</v>
      </c>
      <c r="P31" s="104" t="s">
        <v>86</v>
      </c>
      <c r="Q31" s="333"/>
      <c r="R31" s="570"/>
    </row>
    <row r="32" spans="1:18" s="72" customFormat="1" ht="33" customHeight="1" x14ac:dyDescent="0.25">
      <c r="A32" s="524" t="s">
        <v>285</v>
      </c>
      <c r="B32" s="519" t="s">
        <v>115</v>
      </c>
      <c r="C32" s="519" t="str">
        <f>A32</f>
        <v>1.2.3.1</v>
      </c>
      <c r="D32" s="520" t="s">
        <v>138</v>
      </c>
      <c r="E32" s="525" t="s">
        <v>72</v>
      </c>
      <c r="F32" s="530">
        <f>$H$6</f>
        <v>3</v>
      </c>
      <c r="G32" s="102">
        <f>(ROUND(VLOOKUP(A32,Comp!$A$1:$M$23042,13,0),2))</f>
        <v>342.2</v>
      </c>
      <c r="H32" s="102">
        <f>ROUND(VLOOKUP(A32,Comp!$A$1:$M$23042,8,0),2)</f>
        <v>0</v>
      </c>
      <c r="I32" s="102">
        <f t="shared" ref="I32:I33" si="34">+ROUND(G32+H32,2)</f>
        <v>342.2</v>
      </c>
      <c r="J32" s="102">
        <f>ROUND(G32*F32,2)</f>
        <v>1026.5999999999999</v>
      </c>
      <c r="K32" s="102">
        <f>ROUND(H32*F32,2)</f>
        <v>0</v>
      </c>
      <c r="L32" s="102">
        <f>ROUND(I32*F32,2)</f>
        <v>1026.5999999999999</v>
      </c>
      <c r="M32" s="410">
        <f t="shared" ref="M32:M34" si="35">$F$6</f>
        <v>0.25</v>
      </c>
      <c r="N32" s="408">
        <f t="shared" ref="N32:N34" si="36">ROUND(L32*(1+M32),2)</f>
        <v>1283.25</v>
      </c>
      <c r="O32" s="171">
        <f>+L32/Resumo!$D$33</f>
        <v>2.4649450644517344E-3</v>
      </c>
      <c r="P32" s="104"/>
      <c r="Q32" s="333"/>
    </row>
    <row r="33" spans="1:18" s="72" customFormat="1" x14ac:dyDescent="0.25">
      <c r="A33" s="524" t="s">
        <v>286</v>
      </c>
      <c r="B33" s="519" t="s">
        <v>115</v>
      </c>
      <c r="C33" s="519" t="str">
        <f>A33</f>
        <v>1.2.3.2</v>
      </c>
      <c r="D33" s="520" t="s">
        <v>148</v>
      </c>
      <c r="E33" s="525" t="s">
        <v>46</v>
      </c>
      <c r="F33" s="530">
        <f>$H$6*2</f>
        <v>6</v>
      </c>
      <c r="G33" s="102">
        <f>(ROUND(VLOOKUP(A33,Comp!$A$1:$M$23042,13,0),2))</f>
        <v>0</v>
      </c>
      <c r="H33" s="102">
        <f>ROUND(VLOOKUP(A33,Comp!$A$1:$M$23042,8,0),2)</f>
        <v>280</v>
      </c>
      <c r="I33" s="102">
        <f t="shared" si="34"/>
        <v>280</v>
      </c>
      <c r="J33" s="102">
        <f>ROUND(G33*F33,2)</f>
        <v>0</v>
      </c>
      <c r="K33" s="102">
        <f>ROUND(H33*F33,2)</f>
        <v>1680</v>
      </c>
      <c r="L33" s="102">
        <f>ROUND(I33*F33,2)</f>
        <v>1680</v>
      </c>
      <c r="M33" s="410">
        <f t="shared" si="35"/>
        <v>0.25</v>
      </c>
      <c r="N33" s="408">
        <f t="shared" si="36"/>
        <v>2100</v>
      </c>
      <c r="O33" s="171">
        <f>+L33/Resumo!$D$33</f>
        <v>4.0338084047135342E-3</v>
      </c>
      <c r="P33" s="104"/>
      <c r="Q33" s="333"/>
    </row>
    <row r="34" spans="1:18" s="72" customFormat="1" ht="17.25" customHeight="1" x14ac:dyDescent="0.25">
      <c r="A34" s="524" t="s">
        <v>287</v>
      </c>
      <c r="B34" s="519" t="s">
        <v>115</v>
      </c>
      <c r="C34" s="519" t="str">
        <f>A34</f>
        <v>1.2.3.3</v>
      </c>
      <c r="D34" s="520" t="s">
        <v>149</v>
      </c>
      <c r="E34" s="525" t="s">
        <v>46</v>
      </c>
      <c r="F34" s="530">
        <v>1</v>
      </c>
      <c r="G34" s="102">
        <f>(ROUND(VLOOKUP(A34,Comp!$A$1:$M$23042,13,0),2))</f>
        <v>0</v>
      </c>
      <c r="H34" s="102">
        <f>ROUND(VLOOKUP(A34,Comp!$A$1:$M$23042,8,0),2)</f>
        <v>3500</v>
      </c>
      <c r="I34" s="102">
        <f>+ROUND(G34+H34,2)</f>
        <v>3500</v>
      </c>
      <c r="J34" s="102">
        <f>ROUND(G34*F34,2)</f>
        <v>0</v>
      </c>
      <c r="K34" s="102">
        <f>ROUND(H34*F34,2)</f>
        <v>3500</v>
      </c>
      <c r="L34" s="102">
        <f>ROUND(I34*F34,2)</f>
        <v>3500</v>
      </c>
      <c r="M34" s="410">
        <f t="shared" si="35"/>
        <v>0.25</v>
      </c>
      <c r="N34" s="408">
        <f t="shared" si="36"/>
        <v>4375</v>
      </c>
      <c r="O34" s="171">
        <f>+L34/Resumo!$D$33</f>
        <v>8.4037675098198629E-3</v>
      </c>
      <c r="P34" s="104"/>
      <c r="Q34" s="333"/>
    </row>
    <row r="35" spans="1:18" s="47" customFormat="1" x14ac:dyDescent="0.25">
      <c r="A35" s="106" t="s">
        <v>288</v>
      </c>
      <c r="B35" s="392"/>
      <c r="C35" s="392"/>
      <c r="D35" s="65" t="s">
        <v>34</v>
      </c>
      <c r="E35" s="133"/>
      <c r="F35" s="68"/>
      <c r="G35" s="68"/>
      <c r="H35" s="68"/>
      <c r="I35" s="68"/>
      <c r="J35" s="68">
        <f>SUM(J36:J43)</f>
        <v>0</v>
      </c>
      <c r="K35" s="68">
        <f t="shared" ref="K35:N35" si="37">SUM(K36:K43)</f>
        <v>750</v>
      </c>
      <c r="L35" s="68">
        <f t="shared" si="37"/>
        <v>750</v>
      </c>
      <c r="M35" s="68"/>
      <c r="N35" s="68">
        <f t="shared" si="37"/>
        <v>937.5</v>
      </c>
      <c r="O35" s="170">
        <f>+L35/Resumo!$D$33</f>
        <v>1.8008073235328277E-3</v>
      </c>
      <c r="P35" s="104" t="s">
        <v>86</v>
      </c>
      <c r="Q35" s="333"/>
      <c r="R35" s="570"/>
    </row>
    <row r="36" spans="1:18" s="72" customFormat="1" x14ac:dyDescent="0.25">
      <c r="A36" s="524" t="s">
        <v>289</v>
      </c>
      <c r="B36" s="519" t="s">
        <v>113</v>
      </c>
      <c r="C36" s="519" t="s">
        <v>113</v>
      </c>
      <c r="D36" s="520" t="s">
        <v>381</v>
      </c>
      <c r="E36" s="521">
        <v>0</v>
      </c>
      <c r="F36" s="530">
        <v>0</v>
      </c>
      <c r="G36" s="102">
        <v>0</v>
      </c>
      <c r="H36" s="102">
        <v>0</v>
      </c>
      <c r="I36" s="102">
        <f t="shared" ref="I36" si="38">+ROUND(G36+H36,2)</f>
        <v>0</v>
      </c>
      <c r="J36" s="102">
        <f t="shared" ref="J36" si="39">ROUND(G36*F36,2)</f>
        <v>0</v>
      </c>
      <c r="K36" s="102">
        <f t="shared" ref="K36" si="40">ROUND(H36*F36,2)</f>
        <v>0</v>
      </c>
      <c r="L36" s="102">
        <f t="shared" ref="L36" si="41">ROUND(I36*F36,2)</f>
        <v>0</v>
      </c>
      <c r="M36" s="410">
        <f t="shared" ref="M36:M43" si="42">$F$6</f>
        <v>0.25</v>
      </c>
      <c r="N36" s="408">
        <f t="shared" ref="N36" si="43">ROUND(L36*(1+M36),2)</f>
        <v>0</v>
      </c>
      <c r="O36" s="171">
        <f>+L36/Resumo!$D$33</f>
        <v>0</v>
      </c>
      <c r="P36" s="104"/>
      <c r="Q36" s="333"/>
    </row>
    <row r="37" spans="1:18" s="72" customFormat="1" x14ac:dyDescent="0.25">
      <c r="A37" s="524" t="s">
        <v>290</v>
      </c>
      <c r="B37" s="519" t="s">
        <v>113</v>
      </c>
      <c r="C37" s="519" t="s">
        <v>113</v>
      </c>
      <c r="D37" s="520" t="s">
        <v>382</v>
      </c>
      <c r="E37" s="521">
        <v>0</v>
      </c>
      <c r="F37" s="530">
        <v>0</v>
      </c>
      <c r="G37" s="102">
        <v>0</v>
      </c>
      <c r="H37" s="102">
        <v>0</v>
      </c>
      <c r="I37" s="102">
        <f t="shared" ref="I37:I43" si="44">+ROUND(G37+H37,2)</f>
        <v>0</v>
      </c>
      <c r="J37" s="102">
        <f t="shared" ref="J37:J43" si="45">ROUND(G37*F37,2)</f>
        <v>0</v>
      </c>
      <c r="K37" s="102">
        <f t="shared" ref="K37:K43" si="46">ROUND(H37*F37,2)</f>
        <v>0</v>
      </c>
      <c r="L37" s="102">
        <f t="shared" ref="L37:L43" si="47">ROUND(I37*F37,2)</f>
        <v>0</v>
      </c>
      <c r="M37" s="410">
        <f t="shared" si="42"/>
        <v>0.25</v>
      </c>
      <c r="N37" s="408">
        <f t="shared" ref="N37:N43" si="48">ROUND(L37*(1+M37),2)</f>
        <v>0</v>
      </c>
      <c r="O37" s="171">
        <f>+L37/Resumo!$D$33</f>
        <v>0</v>
      </c>
      <c r="P37" s="104"/>
      <c r="Q37" s="333"/>
    </row>
    <row r="38" spans="1:18" s="72" customFormat="1" x14ac:dyDescent="0.25">
      <c r="A38" s="524" t="s">
        <v>291</v>
      </c>
      <c r="B38" s="519" t="s">
        <v>115</v>
      </c>
      <c r="C38" s="519" t="str">
        <f>A38</f>
        <v>1.2.4.3</v>
      </c>
      <c r="D38" s="520" t="s">
        <v>146</v>
      </c>
      <c r="E38" s="525" t="s">
        <v>72</v>
      </c>
      <c r="F38" s="530">
        <f t="shared" ref="F38:F40" si="49">$H$6</f>
        <v>3</v>
      </c>
      <c r="G38" s="102">
        <f>(ROUND(VLOOKUP(A38,Comp!$A$1:$M$23042,13,0),2))</f>
        <v>0</v>
      </c>
      <c r="H38" s="102">
        <f>ROUND(VLOOKUP(A38,Comp!$A$1:$M$23042,8,0),2)</f>
        <v>120</v>
      </c>
      <c r="I38" s="102">
        <f t="shared" si="44"/>
        <v>120</v>
      </c>
      <c r="J38" s="102">
        <f t="shared" si="45"/>
        <v>0</v>
      </c>
      <c r="K38" s="102">
        <f t="shared" si="46"/>
        <v>360</v>
      </c>
      <c r="L38" s="102">
        <f t="shared" si="47"/>
        <v>360</v>
      </c>
      <c r="M38" s="410">
        <f t="shared" si="42"/>
        <v>0.25</v>
      </c>
      <c r="N38" s="408">
        <f t="shared" si="48"/>
        <v>450</v>
      </c>
      <c r="O38" s="171">
        <f>+L38/Resumo!$D$33</f>
        <v>8.6438751529575733E-4</v>
      </c>
      <c r="P38" s="104"/>
      <c r="Q38" s="333"/>
    </row>
    <row r="39" spans="1:18" s="72" customFormat="1" x14ac:dyDescent="0.25">
      <c r="A39" s="524" t="s">
        <v>292</v>
      </c>
      <c r="B39" s="519" t="s">
        <v>115</v>
      </c>
      <c r="C39" s="519" t="str">
        <f>A39</f>
        <v>1.2.4.4</v>
      </c>
      <c r="D39" s="520" t="s">
        <v>143</v>
      </c>
      <c r="E39" s="525" t="s">
        <v>72</v>
      </c>
      <c r="F39" s="530">
        <f t="shared" si="49"/>
        <v>3</v>
      </c>
      <c r="G39" s="102">
        <f>(ROUND(VLOOKUP(A39,Comp!$A$1:$M$23042,13,0),2))</f>
        <v>0</v>
      </c>
      <c r="H39" s="102">
        <f>ROUND(VLOOKUP(A39,Comp!$A$1:$M$23042,8,0),2)</f>
        <v>50</v>
      </c>
      <c r="I39" s="102">
        <f t="shared" si="44"/>
        <v>50</v>
      </c>
      <c r="J39" s="102">
        <f t="shared" si="45"/>
        <v>0</v>
      </c>
      <c r="K39" s="102">
        <f t="shared" si="46"/>
        <v>150</v>
      </c>
      <c r="L39" s="102">
        <f t="shared" si="47"/>
        <v>150</v>
      </c>
      <c r="M39" s="410">
        <f t="shared" si="42"/>
        <v>0.25</v>
      </c>
      <c r="N39" s="408">
        <f t="shared" si="48"/>
        <v>187.5</v>
      </c>
      <c r="O39" s="171">
        <f>+L39/Resumo!$D$33</f>
        <v>3.6016146470656556E-4</v>
      </c>
      <c r="P39" s="104"/>
      <c r="Q39" s="333"/>
    </row>
    <row r="40" spans="1:18" s="72" customFormat="1" x14ac:dyDescent="0.25">
      <c r="A40" s="524" t="s">
        <v>293</v>
      </c>
      <c r="B40" s="519" t="s">
        <v>115</v>
      </c>
      <c r="C40" s="519" t="str">
        <f>A40</f>
        <v>1.2.4.5</v>
      </c>
      <c r="D40" s="520" t="s">
        <v>144</v>
      </c>
      <c r="E40" s="525" t="s">
        <v>72</v>
      </c>
      <c r="F40" s="530">
        <f t="shared" si="49"/>
        <v>3</v>
      </c>
      <c r="G40" s="102">
        <f>(ROUND(VLOOKUP(A40,Comp!$A$1:$M$23042,13,0),2))</f>
        <v>0</v>
      </c>
      <c r="H40" s="102">
        <f>ROUND(VLOOKUP(A40,Comp!$A$1:$M$23042,8,0),2)</f>
        <v>80</v>
      </c>
      <c r="I40" s="102">
        <f t="shared" si="44"/>
        <v>80</v>
      </c>
      <c r="J40" s="102">
        <f t="shared" si="45"/>
        <v>0</v>
      </c>
      <c r="K40" s="102">
        <f t="shared" si="46"/>
        <v>240</v>
      </c>
      <c r="L40" s="102">
        <f t="shared" si="47"/>
        <v>240</v>
      </c>
      <c r="M40" s="410">
        <f t="shared" si="42"/>
        <v>0.25</v>
      </c>
      <c r="N40" s="408">
        <f t="shared" si="48"/>
        <v>300</v>
      </c>
      <c r="O40" s="171">
        <f>+L40/Resumo!$D$33</f>
        <v>5.7625834353050489E-4</v>
      </c>
      <c r="P40" s="104"/>
      <c r="Q40" s="333"/>
    </row>
    <row r="41" spans="1:18" s="72" customFormat="1" x14ac:dyDescent="0.25">
      <c r="A41" s="524" t="s">
        <v>294</v>
      </c>
      <c r="B41" s="518">
        <v>0</v>
      </c>
      <c r="C41" s="518">
        <v>0</v>
      </c>
      <c r="D41" s="520" t="s">
        <v>145</v>
      </c>
      <c r="E41" s="521">
        <v>0</v>
      </c>
      <c r="F41" s="530">
        <v>0</v>
      </c>
      <c r="G41" s="102">
        <v>0</v>
      </c>
      <c r="H41" s="102">
        <v>0</v>
      </c>
      <c r="I41" s="102">
        <f t="shared" si="44"/>
        <v>0</v>
      </c>
      <c r="J41" s="102">
        <f t="shared" si="45"/>
        <v>0</v>
      </c>
      <c r="K41" s="102">
        <f t="shared" si="46"/>
        <v>0</v>
      </c>
      <c r="L41" s="102">
        <f t="shared" si="47"/>
        <v>0</v>
      </c>
      <c r="M41" s="410">
        <f t="shared" si="42"/>
        <v>0.25</v>
      </c>
      <c r="N41" s="408">
        <f t="shared" si="48"/>
        <v>0</v>
      </c>
      <c r="O41" s="171">
        <f>+L41/Resumo!$D$33</f>
        <v>0</v>
      </c>
      <c r="P41" s="104"/>
      <c r="Q41" s="333"/>
    </row>
    <row r="42" spans="1:18" s="72" customFormat="1" ht="29.25" customHeight="1" x14ac:dyDescent="0.25">
      <c r="A42" s="524" t="s">
        <v>295</v>
      </c>
      <c r="B42" s="518">
        <v>0</v>
      </c>
      <c r="C42" s="518">
        <v>0</v>
      </c>
      <c r="D42" s="520" t="s">
        <v>147</v>
      </c>
      <c r="E42" s="521">
        <v>0</v>
      </c>
      <c r="F42" s="530">
        <v>0</v>
      </c>
      <c r="G42" s="102">
        <v>0</v>
      </c>
      <c r="H42" s="102">
        <v>0</v>
      </c>
      <c r="I42" s="102">
        <f t="shared" si="44"/>
        <v>0</v>
      </c>
      <c r="J42" s="102">
        <f t="shared" si="45"/>
        <v>0</v>
      </c>
      <c r="K42" s="102">
        <f t="shared" si="46"/>
        <v>0</v>
      </c>
      <c r="L42" s="102">
        <f t="shared" si="47"/>
        <v>0</v>
      </c>
      <c r="M42" s="410">
        <f t="shared" si="42"/>
        <v>0.25</v>
      </c>
      <c r="N42" s="408">
        <f t="shared" si="48"/>
        <v>0</v>
      </c>
      <c r="O42" s="171">
        <f>+L42/Resumo!$D$33</f>
        <v>0</v>
      </c>
      <c r="P42" s="104"/>
      <c r="Q42" s="333"/>
    </row>
    <row r="43" spans="1:18" s="72" customFormat="1" x14ac:dyDescent="0.25">
      <c r="A43" s="524" t="s">
        <v>296</v>
      </c>
      <c r="B43" s="518">
        <v>0</v>
      </c>
      <c r="C43" s="518">
        <v>0</v>
      </c>
      <c r="D43" s="520" t="s">
        <v>136</v>
      </c>
      <c r="E43" s="521">
        <v>0</v>
      </c>
      <c r="F43" s="530">
        <v>0</v>
      </c>
      <c r="G43" s="102">
        <v>0</v>
      </c>
      <c r="H43" s="102">
        <v>0</v>
      </c>
      <c r="I43" s="102">
        <f t="shared" si="44"/>
        <v>0</v>
      </c>
      <c r="J43" s="102">
        <f t="shared" si="45"/>
        <v>0</v>
      </c>
      <c r="K43" s="102">
        <f t="shared" si="46"/>
        <v>0</v>
      </c>
      <c r="L43" s="102">
        <f t="shared" si="47"/>
        <v>0</v>
      </c>
      <c r="M43" s="410">
        <f t="shared" si="42"/>
        <v>0.25</v>
      </c>
      <c r="N43" s="408">
        <f t="shared" si="48"/>
        <v>0</v>
      </c>
      <c r="O43" s="171">
        <f>+L43/Resumo!$D$33</f>
        <v>0</v>
      </c>
      <c r="P43" s="104"/>
      <c r="Q43" s="333"/>
    </row>
    <row r="44" spans="1:18" s="47" customFormat="1" x14ac:dyDescent="0.25">
      <c r="A44" s="106" t="s">
        <v>297</v>
      </c>
      <c r="B44" s="392"/>
      <c r="C44" s="392"/>
      <c r="D44" s="65" t="s">
        <v>63</v>
      </c>
      <c r="E44" s="133"/>
      <c r="F44" s="68"/>
      <c r="G44" s="68"/>
      <c r="H44" s="68"/>
      <c r="I44" s="68"/>
      <c r="J44" s="68">
        <f>SUM(J45:J48)</f>
        <v>12.9</v>
      </c>
      <c r="K44" s="68">
        <f>SUM(K45:K48)</f>
        <v>411.3</v>
      </c>
      <c r="L44" s="68">
        <f>SUM(L45:L48)</f>
        <v>424.2</v>
      </c>
      <c r="M44" s="68"/>
      <c r="N44" s="68">
        <f t="shared" ref="N44" si="50">SUM(N45:N48)</f>
        <v>530.25</v>
      </c>
      <c r="O44" s="170">
        <f>+L44/Resumo!$D$33</f>
        <v>1.0185366221901672E-3</v>
      </c>
      <c r="P44" s="104" t="s">
        <v>86</v>
      </c>
      <c r="Q44" s="333"/>
      <c r="R44" s="570"/>
    </row>
    <row r="45" spans="1:18" s="72" customFormat="1" x14ac:dyDescent="0.25">
      <c r="A45" s="524" t="s">
        <v>298</v>
      </c>
      <c r="B45" s="519" t="s">
        <v>115</v>
      </c>
      <c r="C45" s="519" t="str">
        <f>A45</f>
        <v>1.2.5.1</v>
      </c>
      <c r="D45" s="520" t="s">
        <v>76</v>
      </c>
      <c r="E45" s="525" t="s">
        <v>72</v>
      </c>
      <c r="F45" s="530">
        <f t="shared" ref="F45:F46" si="51">$H$6</f>
        <v>3</v>
      </c>
      <c r="G45" s="102">
        <f>(ROUND(VLOOKUP(A45,Comp!$A$1:$M$23042,13,0),2))</f>
        <v>0</v>
      </c>
      <c r="H45" s="102">
        <f>ROUND(VLOOKUP(A45,Comp!$A$1:$M$23042,8,0),2)</f>
        <v>20</v>
      </c>
      <c r="I45" s="102">
        <f t="shared" ref="I45" si="52">+ROUND(G45+H45,2)</f>
        <v>20</v>
      </c>
      <c r="J45" s="102">
        <f t="shared" ref="J45" si="53">ROUND(G45*F45,2)</f>
        <v>0</v>
      </c>
      <c r="K45" s="102">
        <f t="shared" ref="K45" si="54">ROUND(H45*F45,2)</f>
        <v>60</v>
      </c>
      <c r="L45" s="102">
        <f t="shared" ref="L45" si="55">ROUND(I45*F45,2)</f>
        <v>60</v>
      </c>
      <c r="M45" s="410">
        <f t="shared" ref="M45:M48" si="56">$F$6</f>
        <v>0.25</v>
      </c>
      <c r="N45" s="408">
        <f t="shared" ref="N45:N48" si="57">ROUND(L45*(1+M45),2)</f>
        <v>75</v>
      </c>
      <c r="O45" s="171">
        <f>+L45/Resumo!$D$33</f>
        <v>1.4406458588262622E-4</v>
      </c>
      <c r="P45" s="104"/>
      <c r="Q45" s="333"/>
    </row>
    <row r="46" spans="1:18" s="72" customFormat="1" x14ac:dyDescent="0.25">
      <c r="A46" s="524" t="s">
        <v>299</v>
      </c>
      <c r="B46" s="519" t="s">
        <v>115</v>
      </c>
      <c r="C46" s="519" t="str">
        <f>A46</f>
        <v>1.2.5.2</v>
      </c>
      <c r="D46" s="520" t="s">
        <v>142</v>
      </c>
      <c r="E46" s="525" t="s">
        <v>72</v>
      </c>
      <c r="F46" s="530">
        <f t="shared" si="51"/>
        <v>3</v>
      </c>
      <c r="G46" s="102">
        <f>(ROUND(VLOOKUP(A46,Comp!$A$1:$M$23042,13,0),2))</f>
        <v>0</v>
      </c>
      <c r="H46" s="102">
        <f>ROUND(VLOOKUP(A46,Comp!$A$1:$M$23042,8,0),2)</f>
        <v>25</v>
      </c>
      <c r="I46" s="102">
        <f t="shared" ref="I46:I48" si="58">+ROUND(G46+H46,2)</f>
        <v>25</v>
      </c>
      <c r="J46" s="102">
        <f t="shared" ref="J46:J48" si="59">ROUND(G46*F46,2)</f>
        <v>0</v>
      </c>
      <c r="K46" s="102">
        <f t="shared" ref="K46:K48" si="60">ROUND(H46*F46,2)</f>
        <v>75</v>
      </c>
      <c r="L46" s="102">
        <f t="shared" ref="L46:L48" si="61">ROUND(I46*F46,2)</f>
        <v>75</v>
      </c>
      <c r="M46" s="410">
        <f t="shared" si="56"/>
        <v>0.25</v>
      </c>
      <c r="N46" s="408">
        <f t="shared" si="57"/>
        <v>93.75</v>
      </c>
      <c r="O46" s="171">
        <f>+L46/Resumo!$D$33</f>
        <v>1.8008073235328278E-4</v>
      </c>
      <c r="P46" s="104"/>
      <c r="Q46" s="333"/>
    </row>
    <row r="47" spans="1:18" s="72" customFormat="1" x14ac:dyDescent="0.25">
      <c r="A47" s="524" t="s">
        <v>300</v>
      </c>
      <c r="B47" s="518">
        <v>0</v>
      </c>
      <c r="C47" s="518">
        <v>0</v>
      </c>
      <c r="D47" s="520" t="s">
        <v>141</v>
      </c>
      <c r="E47" s="521">
        <v>0</v>
      </c>
      <c r="F47" s="530">
        <v>0</v>
      </c>
      <c r="G47" s="102">
        <v>0</v>
      </c>
      <c r="H47" s="102">
        <v>0</v>
      </c>
      <c r="I47" s="102">
        <f t="shared" si="58"/>
        <v>0</v>
      </c>
      <c r="J47" s="102">
        <f t="shared" si="59"/>
        <v>0</v>
      </c>
      <c r="K47" s="102">
        <f t="shared" si="60"/>
        <v>0</v>
      </c>
      <c r="L47" s="102">
        <f t="shared" si="61"/>
        <v>0</v>
      </c>
      <c r="M47" s="410">
        <f t="shared" si="56"/>
        <v>0.25</v>
      </c>
      <c r="N47" s="408">
        <f t="shared" si="57"/>
        <v>0</v>
      </c>
      <c r="O47" s="171">
        <f>+L47/Resumo!$D$33</f>
        <v>0</v>
      </c>
      <c r="P47" s="104"/>
      <c r="Q47" s="333"/>
    </row>
    <row r="48" spans="1:18" s="72" customFormat="1" x14ac:dyDescent="0.25">
      <c r="A48" s="524" t="s">
        <v>301</v>
      </c>
      <c r="B48" s="519" t="s">
        <v>115</v>
      </c>
      <c r="C48" s="519" t="str">
        <f>A48</f>
        <v>1.2.5.4</v>
      </c>
      <c r="D48" s="520" t="s">
        <v>139</v>
      </c>
      <c r="E48" s="525" t="s">
        <v>46</v>
      </c>
      <c r="F48" s="530">
        <v>15</v>
      </c>
      <c r="G48" s="102">
        <f>(ROUND(VLOOKUP(A48,Comp!$A$1:$M$23042,13,0),2))</f>
        <v>0.86</v>
      </c>
      <c r="H48" s="102">
        <f>ROUND(VLOOKUP(A48,Comp!$A$1:$M$23042,8,0),2)</f>
        <v>18.420000000000002</v>
      </c>
      <c r="I48" s="102">
        <f t="shared" si="58"/>
        <v>19.28</v>
      </c>
      <c r="J48" s="102">
        <f t="shared" si="59"/>
        <v>12.9</v>
      </c>
      <c r="K48" s="102">
        <f t="shared" si="60"/>
        <v>276.3</v>
      </c>
      <c r="L48" s="102">
        <f t="shared" si="61"/>
        <v>289.2</v>
      </c>
      <c r="M48" s="410">
        <f t="shared" si="56"/>
        <v>0.25</v>
      </c>
      <c r="N48" s="408">
        <f t="shared" si="57"/>
        <v>361.5</v>
      </c>
      <c r="O48" s="171">
        <f>+L48/Resumo!$D$33</f>
        <v>6.9439130395425829E-4</v>
      </c>
      <c r="P48" s="104"/>
      <c r="Q48" s="333"/>
    </row>
    <row r="49" spans="1:18" s="47" customFormat="1" ht="13.5" customHeight="1" x14ac:dyDescent="0.25">
      <c r="A49" s="106" t="s">
        <v>302</v>
      </c>
      <c r="B49" s="392"/>
      <c r="C49" s="392"/>
      <c r="D49" s="65" t="s">
        <v>97</v>
      </c>
      <c r="E49" s="133"/>
      <c r="F49" s="68"/>
      <c r="G49" s="68"/>
      <c r="H49" s="68"/>
      <c r="I49" s="68"/>
      <c r="J49" s="68">
        <f>SUM(J50:J54)</f>
        <v>1620.6</v>
      </c>
      <c r="K49" s="68">
        <f t="shared" ref="K49:N49" si="62">SUM(K50:K54)</f>
        <v>0</v>
      </c>
      <c r="L49" s="68">
        <f t="shared" si="62"/>
        <v>1620.6</v>
      </c>
      <c r="M49" s="68"/>
      <c r="N49" s="68">
        <f t="shared" si="62"/>
        <v>2025.75</v>
      </c>
      <c r="O49" s="170">
        <f>+L49/Resumo!$D$33</f>
        <v>3.891184464689734E-3</v>
      </c>
      <c r="P49" s="104" t="s">
        <v>86</v>
      </c>
      <c r="Q49" s="333"/>
      <c r="R49" s="570"/>
    </row>
    <row r="50" spans="1:18" s="72" customFormat="1" x14ac:dyDescent="0.25">
      <c r="A50" s="524" t="s">
        <v>303</v>
      </c>
      <c r="B50" s="518">
        <v>0</v>
      </c>
      <c r="C50" s="518">
        <v>0</v>
      </c>
      <c r="D50" s="520" t="s">
        <v>135</v>
      </c>
      <c r="E50" s="521">
        <v>0</v>
      </c>
      <c r="F50" s="530">
        <v>0</v>
      </c>
      <c r="G50" s="102">
        <v>0</v>
      </c>
      <c r="H50" s="102">
        <v>0</v>
      </c>
      <c r="I50" s="102">
        <f>+ROUND(G50+H50,2)</f>
        <v>0</v>
      </c>
      <c r="J50" s="102">
        <f>ROUND(G50*F50,2)</f>
        <v>0</v>
      </c>
      <c r="K50" s="102">
        <f>ROUND(H50*F50,2)</f>
        <v>0</v>
      </c>
      <c r="L50" s="102">
        <f>ROUND(I50*F50,2)</f>
        <v>0</v>
      </c>
      <c r="M50" s="410">
        <f t="shared" ref="M50:M54" si="63">$F$6</f>
        <v>0.25</v>
      </c>
      <c r="N50" s="408">
        <f t="shared" ref="N50:N54" si="64">ROUND(L50*(1+M50),2)</f>
        <v>0</v>
      </c>
      <c r="O50" s="171">
        <f>+L50/Resumo!$D$33</f>
        <v>0</v>
      </c>
      <c r="P50" s="104"/>
      <c r="Q50" s="333"/>
    </row>
    <row r="51" spans="1:18" s="72" customFormat="1" x14ac:dyDescent="0.25">
      <c r="A51" s="524" t="s">
        <v>304</v>
      </c>
      <c r="B51" s="518">
        <v>0</v>
      </c>
      <c r="C51" s="518">
        <v>0</v>
      </c>
      <c r="D51" s="520" t="s">
        <v>134</v>
      </c>
      <c r="E51" s="521">
        <v>0</v>
      </c>
      <c r="F51" s="530">
        <v>0</v>
      </c>
      <c r="G51" s="102">
        <v>0</v>
      </c>
      <c r="H51" s="102">
        <v>0</v>
      </c>
      <c r="I51" s="102">
        <f>+ROUND(G51+H51,2)</f>
        <v>0</v>
      </c>
      <c r="J51" s="102">
        <f>ROUND(G51*F51,2)</f>
        <v>0</v>
      </c>
      <c r="K51" s="102">
        <f>ROUND(H51*F51,2)</f>
        <v>0</v>
      </c>
      <c r="L51" s="102">
        <f>ROUND(I51*F51,2)</f>
        <v>0</v>
      </c>
      <c r="M51" s="410">
        <f t="shared" si="63"/>
        <v>0.25</v>
      </c>
      <c r="N51" s="408">
        <f t="shared" si="64"/>
        <v>0</v>
      </c>
      <c r="O51" s="171">
        <f>+L51/Resumo!$D$33</f>
        <v>0</v>
      </c>
      <c r="P51" s="104"/>
      <c r="Q51" s="333"/>
    </row>
    <row r="52" spans="1:18" s="72" customFormat="1" ht="16.5" customHeight="1" x14ac:dyDescent="0.25">
      <c r="A52" s="524" t="s">
        <v>305</v>
      </c>
      <c r="B52" s="518">
        <v>0</v>
      </c>
      <c r="C52" s="518">
        <v>0</v>
      </c>
      <c r="D52" s="520" t="s">
        <v>133</v>
      </c>
      <c r="E52" s="521">
        <v>0</v>
      </c>
      <c r="F52" s="530">
        <v>0</v>
      </c>
      <c r="G52" s="102">
        <v>0</v>
      </c>
      <c r="H52" s="102">
        <v>0</v>
      </c>
      <c r="I52" s="102">
        <f>+ROUND(G52+H52,2)</f>
        <v>0</v>
      </c>
      <c r="J52" s="102">
        <f>ROUND(G52*F52,2)</f>
        <v>0</v>
      </c>
      <c r="K52" s="102">
        <f>ROUND(H52*F52,2)</f>
        <v>0</v>
      </c>
      <c r="L52" s="102">
        <f>ROUND(I52*F52,2)</f>
        <v>0</v>
      </c>
      <c r="M52" s="410">
        <f t="shared" si="63"/>
        <v>0.25</v>
      </c>
      <c r="N52" s="408">
        <f t="shared" si="64"/>
        <v>0</v>
      </c>
      <c r="O52" s="171">
        <f>+L52/Resumo!$D$33</f>
        <v>0</v>
      </c>
      <c r="P52" s="104"/>
      <c r="Q52" s="333"/>
    </row>
    <row r="53" spans="1:18" s="72" customFormat="1" ht="15.75" customHeight="1" x14ac:dyDescent="0.25">
      <c r="A53" s="524" t="s">
        <v>306</v>
      </c>
      <c r="B53" s="518">
        <v>0</v>
      </c>
      <c r="C53" s="518">
        <v>0</v>
      </c>
      <c r="D53" s="520" t="s">
        <v>383</v>
      </c>
      <c r="E53" s="521">
        <v>0</v>
      </c>
      <c r="F53" s="530">
        <v>0</v>
      </c>
      <c r="G53" s="102">
        <v>0</v>
      </c>
      <c r="H53" s="102">
        <v>0</v>
      </c>
      <c r="I53" s="102">
        <f>+ROUND(G53+H53,2)</f>
        <v>0</v>
      </c>
      <c r="J53" s="102">
        <f>ROUND(G53*F53,2)</f>
        <v>0</v>
      </c>
      <c r="K53" s="102">
        <f>ROUND(H53*F53,2)</f>
        <v>0</v>
      </c>
      <c r="L53" s="102">
        <f>ROUND(I53*F53,2)</f>
        <v>0</v>
      </c>
      <c r="M53" s="410">
        <f t="shared" si="63"/>
        <v>0.25</v>
      </c>
      <c r="N53" s="408">
        <f t="shared" si="64"/>
        <v>0</v>
      </c>
      <c r="O53" s="171">
        <f>+L53/Resumo!$D$33</f>
        <v>0</v>
      </c>
      <c r="P53" s="104"/>
      <c r="Q53" s="333"/>
    </row>
    <row r="54" spans="1:18" s="72" customFormat="1" x14ac:dyDescent="0.25">
      <c r="A54" s="524" t="s">
        <v>307</v>
      </c>
      <c r="B54" s="519" t="s">
        <v>115</v>
      </c>
      <c r="C54" s="519" t="str">
        <f>A54</f>
        <v>1.2.6.5</v>
      </c>
      <c r="D54" s="520" t="s">
        <v>623</v>
      </c>
      <c r="E54" s="525" t="s">
        <v>46</v>
      </c>
      <c r="F54" s="530">
        <v>1</v>
      </c>
      <c r="G54" s="102">
        <f>(ROUND(VLOOKUP(A54,Comp!$A$1:$M$23042,13,0),2))</f>
        <v>1620.6</v>
      </c>
      <c r="H54" s="102">
        <f>ROUND(VLOOKUP(A54,Comp!$A$1:$M$23042,8,0),2)</f>
        <v>0</v>
      </c>
      <c r="I54" s="102">
        <f>+ROUND(G54+H54,2)</f>
        <v>1620.6</v>
      </c>
      <c r="J54" s="102">
        <f>ROUND(G54*F54,2)</f>
        <v>1620.6</v>
      </c>
      <c r="K54" s="102">
        <f>ROUND(H54*F54,2)</f>
        <v>0</v>
      </c>
      <c r="L54" s="102">
        <f>ROUND(I54*F54,2)</f>
        <v>1620.6</v>
      </c>
      <c r="M54" s="410">
        <f t="shared" si="63"/>
        <v>0.25</v>
      </c>
      <c r="N54" s="408">
        <f t="shared" si="64"/>
        <v>2025.75</v>
      </c>
      <c r="O54" s="171">
        <f>+L54/Resumo!$D$33</f>
        <v>3.891184464689734E-3</v>
      </c>
      <c r="P54" s="104"/>
      <c r="Q54" s="333"/>
    </row>
    <row r="55" spans="1:18" s="47" customFormat="1" x14ac:dyDescent="0.25">
      <c r="A55" s="106" t="s">
        <v>308</v>
      </c>
      <c r="B55" s="392"/>
      <c r="C55" s="392"/>
      <c r="D55" s="65" t="s">
        <v>100</v>
      </c>
      <c r="E55" s="133"/>
      <c r="F55" s="68"/>
      <c r="G55" s="68"/>
      <c r="H55" s="68"/>
      <c r="I55" s="68"/>
      <c r="J55" s="68">
        <f>SUM(J56:J59)</f>
        <v>0</v>
      </c>
      <c r="K55" s="68">
        <f>SUM(K56:K59)</f>
        <v>1148.8800000000001</v>
      </c>
      <c r="L55" s="68">
        <f>SUM(L56:L59)</f>
        <v>1148.8800000000001</v>
      </c>
      <c r="M55" s="68"/>
      <c r="N55" s="68">
        <f>SUM(N56:N59)</f>
        <v>1436.1</v>
      </c>
      <c r="O55" s="170">
        <f>+L55/Resumo!$D$33</f>
        <v>2.7585486904805269E-3</v>
      </c>
      <c r="P55" s="104" t="s">
        <v>86</v>
      </c>
      <c r="Q55" s="333"/>
      <c r="R55" s="570"/>
    </row>
    <row r="56" spans="1:18" s="72" customFormat="1" x14ac:dyDescent="0.25">
      <c r="A56" s="524" t="s">
        <v>309</v>
      </c>
      <c r="B56" s="518">
        <v>0</v>
      </c>
      <c r="C56" s="518">
        <v>0</v>
      </c>
      <c r="D56" s="520" t="s">
        <v>374</v>
      </c>
      <c r="E56" s="521">
        <v>0</v>
      </c>
      <c r="F56" s="530">
        <v>0</v>
      </c>
      <c r="G56" s="102">
        <v>0</v>
      </c>
      <c r="H56" s="102">
        <v>0</v>
      </c>
      <c r="I56" s="102">
        <f t="shared" ref="I56:I59" si="65">+ROUND(G56+H56,2)</f>
        <v>0</v>
      </c>
      <c r="J56" s="102">
        <f t="shared" ref="J56:J59" si="66">ROUND(G56*F56,2)</f>
        <v>0</v>
      </c>
      <c r="K56" s="102">
        <f t="shared" ref="K56:K59" si="67">ROUND(H56*F56,2)</f>
        <v>0</v>
      </c>
      <c r="L56" s="102">
        <f t="shared" ref="L56:L59" si="68">ROUND(I56*F56,2)</f>
        <v>0</v>
      </c>
      <c r="M56" s="410">
        <f t="shared" ref="M56:M59" si="69">$F$6</f>
        <v>0.25</v>
      </c>
      <c r="N56" s="408">
        <f t="shared" ref="N56:N59" si="70">ROUND(L56*(1+M56),2)</f>
        <v>0</v>
      </c>
      <c r="O56" s="171">
        <f>+L56/Resumo!$D$33</f>
        <v>0</v>
      </c>
      <c r="P56" s="104"/>
      <c r="Q56" s="333"/>
    </row>
    <row r="57" spans="1:18" s="72" customFormat="1" x14ac:dyDescent="0.25">
      <c r="A57" s="524" t="s">
        <v>310</v>
      </c>
      <c r="B57" s="519" t="s">
        <v>115</v>
      </c>
      <c r="C57" s="519" t="str">
        <f>A57</f>
        <v>1.2.7.2</v>
      </c>
      <c r="D57" s="520" t="s">
        <v>110</v>
      </c>
      <c r="E57" s="521" t="s">
        <v>46</v>
      </c>
      <c r="F57" s="530">
        <v>1</v>
      </c>
      <c r="G57" s="102">
        <f>(ROUND(VLOOKUP(A57,Comp!$A$1:$M$23042,13,0),2))</f>
        <v>0</v>
      </c>
      <c r="H57" s="102">
        <f>ROUND(VLOOKUP(A57,Comp!$A$1:$M$23042,8,0),2)</f>
        <v>1148.8800000000001</v>
      </c>
      <c r="I57" s="102">
        <f t="shared" ref="I57" si="71">+ROUND(G57+H57,2)</f>
        <v>1148.8800000000001</v>
      </c>
      <c r="J57" s="102">
        <f t="shared" ref="J57" si="72">ROUND(G57*F57,2)</f>
        <v>0</v>
      </c>
      <c r="K57" s="102">
        <f t="shared" ref="K57" si="73">ROUND(H57*F57,2)</f>
        <v>1148.8800000000001</v>
      </c>
      <c r="L57" s="102">
        <f t="shared" ref="L57" si="74">ROUND(I57*F57,2)</f>
        <v>1148.8800000000001</v>
      </c>
      <c r="M57" s="410">
        <f t="shared" si="69"/>
        <v>0.25</v>
      </c>
      <c r="N57" s="408">
        <f t="shared" si="70"/>
        <v>1436.1</v>
      </c>
      <c r="O57" s="171">
        <f>+L57/Resumo!$D$33</f>
        <v>2.7585486904805269E-3</v>
      </c>
      <c r="P57" s="104"/>
      <c r="Q57" s="333"/>
    </row>
    <row r="58" spans="1:18" s="72" customFormat="1" x14ac:dyDescent="0.25">
      <c r="A58" s="524" t="s">
        <v>311</v>
      </c>
      <c r="B58" s="518">
        <v>0</v>
      </c>
      <c r="C58" s="518">
        <v>0</v>
      </c>
      <c r="D58" s="520" t="s">
        <v>137</v>
      </c>
      <c r="E58" s="521">
        <v>0</v>
      </c>
      <c r="F58" s="530">
        <v>0</v>
      </c>
      <c r="G58" s="102">
        <v>0</v>
      </c>
      <c r="H58" s="102">
        <v>0</v>
      </c>
      <c r="I58" s="102">
        <f t="shared" ref="I58" si="75">+ROUND(G58+H58,2)</f>
        <v>0</v>
      </c>
      <c r="J58" s="102">
        <f t="shared" ref="J58" si="76">ROUND(G58*F58,2)</f>
        <v>0</v>
      </c>
      <c r="K58" s="102">
        <f t="shared" ref="K58" si="77">ROUND(H58*F58,2)</f>
        <v>0</v>
      </c>
      <c r="L58" s="102">
        <f t="shared" ref="L58" si="78">ROUND(I58*F58,2)</f>
        <v>0</v>
      </c>
      <c r="M58" s="410">
        <f t="shared" si="69"/>
        <v>0.25</v>
      </c>
      <c r="N58" s="408">
        <f t="shared" si="70"/>
        <v>0</v>
      </c>
      <c r="O58" s="171">
        <f>+L58/Resumo!$D$33</f>
        <v>0</v>
      </c>
      <c r="P58" s="104"/>
      <c r="Q58" s="333"/>
    </row>
    <row r="59" spans="1:18" s="72" customFormat="1" x14ac:dyDescent="0.25">
      <c r="A59" s="524" t="s">
        <v>312</v>
      </c>
      <c r="B59" s="518">
        <v>0</v>
      </c>
      <c r="C59" s="518">
        <v>0</v>
      </c>
      <c r="D59" s="520" t="s">
        <v>386</v>
      </c>
      <c r="E59" s="521">
        <v>0</v>
      </c>
      <c r="F59" s="530">
        <v>0</v>
      </c>
      <c r="G59" s="102">
        <v>0</v>
      </c>
      <c r="H59" s="102"/>
      <c r="I59" s="102">
        <f t="shared" si="65"/>
        <v>0</v>
      </c>
      <c r="J59" s="102">
        <f t="shared" si="66"/>
        <v>0</v>
      </c>
      <c r="K59" s="102">
        <f t="shared" si="67"/>
        <v>0</v>
      </c>
      <c r="L59" s="102">
        <f t="shared" si="68"/>
        <v>0</v>
      </c>
      <c r="M59" s="410">
        <f t="shared" si="69"/>
        <v>0.25</v>
      </c>
      <c r="N59" s="408">
        <f t="shared" si="70"/>
        <v>0</v>
      </c>
      <c r="O59" s="171">
        <f>+L59/Resumo!$D$33</f>
        <v>0</v>
      </c>
      <c r="P59" s="104"/>
      <c r="Q59" s="333"/>
    </row>
    <row r="60" spans="1:18" x14ac:dyDescent="0.25">
      <c r="A60" s="237"/>
      <c r="B60" s="239"/>
      <c r="C60" s="239"/>
      <c r="D60" s="238"/>
      <c r="E60" s="239"/>
      <c r="F60" s="240"/>
      <c r="G60" s="241"/>
      <c r="H60" s="241"/>
      <c r="I60" s="242"/>
      <c r="J60" s="242"/>
      <c r="K60" s="242"/>
      <c r="L60" s="242"/>
      <c r="M60" s="242"/>
      <c r="N60" s="242"/>
      <c r="O60" s="243"/>
      <c r="P60" s="571"/>
      <c r="Q60" s="572"/>
      <c r="R60" s="572"/>
    </row>
    <row r="61" spans="1:18" x14ac:dyDescent="0.25">
      <c r="A61" s="107"/>
      <c r="B61" s="394"/>
      <c r="C61" s="394"/>
      <c r="D61" s="67"/>
      <c r="E61" s="67"/>
      <c r="F61" s="51"/>
      <c r="G61" s="67"/>
      <c r="H61" s="67"/>
      <c r="I61" s="174" t="s">
        <v>40</v>
      </c>
      <c r="J61" s="175">
        <f>J10</f>
        <v>12716.759999999998</v>
      </c>
      <c r="K61" s="175">
        <f>K10</f>
        <v>20802.900000000001</v>
      </c>
      <c r="L61" s="175">
        <f>L10</f>
        <v>33519.660000000003</v>
      </c>
      <c r="M61" s="175"/>
      <c r="N61" s="175">
        <f>N10</f>
        <v>41899.589999999997</v>
      </c>
      <c r="O61" s="61"/>
      <c r="P61" s="60"/>
      <c r="Q61" s="74"/>
    </row>
    <row r="62" spans="1:18" x14ac:dyDescent="0.25">
      <c r="A62" s="107"/>
      <c r="B62" s="394"/>
      <c r="C62" s="394"/>
      <c r="D62" s="67"/>
      <c r="E62" s="67"/>
      <c r="F62" s="51"/>
      <c r="G62" s="67"/>
      <c r="H62" s="67"/>
      <c r="I62" s="67"/>
      <c r="J62" s="67"/>
      <c r="K62" s="174" t="s">
        <v>41</v>
      </c>
      <c r="L62" s="175">
        <f>'Dados Gerais'!D20</f>
        <v>505</v>
      </c>
      <c r="M62" s="175"/>
      <c r="N62" s="175"/>
      <c r="O62" s="61"/>
      <c r="P62" s="60"/>
      <c r="Q62" s="50"/>
    </row>
    <row r="63" spans="1:18" x14ac:dyDescent="0.25">
      <c r="A63" s="107"/>
      <c r="B63" s="394"/>
      <c r="C63" s="394"/>
      <c r="D63" s="67"/>
      <c r="E63" s="67"/>
      <c r="F63" s="51"/>
      <c r="G63" s="67"/>
      <c r="H63" s="67"/>
      <c r="I63" s="67"/>
      <c r="J63" s="67"/>
      <c r="K63" s="174" t="s">
        <v>28</v>
      </c>
      <c r="L63" s="175">
        <f>L61/$L$62</f>
        <v>66.375564356435646</v>
      </c>
      <c r="M63" s="175"/>
      <c r="N63" s="175"/>
      <c r="O63" s="61"/>
      <c r="P63" s="67"/>
      <c r="Q63" s="128"/>
      <c r="R63" s="127"/>
    </row>
    <row r="64" spans="1:18" x14ac:dyDescent="0.25">
      <c r="A64" s="244"/>
      <c r="B64" s="395"/>
      <c r="C64" s="395"/>
      <c r="D64" s="245"/>
      <c r="E64" s="245"/>
      <c r="F64" s="246"/>
      <c r="G64" s="245"/>
      <c r="H64" s="245"/>
      <c r="I64" s="245"/>
      <c r="J64" s="245"/>
      <c r="K64" s="245"/>
      <c r="L64" s="245"/>
      <c r="M64" s="245"/>
      <c r="N64" s="245"/>
      <c r="O64" s="247"/>
    </row>
    <row r="66" spans="4:15" x14ac:dyDescent="0.25">
      <c r="J66" s="50"/>
    </row>
    <row r="67" spans="4:15" x14ac:dyDescent="0.25">
      <c r="D67" s="47"/>
      <c r="E67" s="50"/>
      <c r="L67" s="82"/>
      <c r="M67" s="82"/>
      <c r="N67" s="82"/>
    </row>
    <row r="68" spans="4:15" x14ac:dyDescent="0.25">
      <c r="D68" s="47"/>
      <c r="E68" s="50"/>
      <c r="J68" s="47" t="s">
        <v>87</v>
      </c>
      <c r="K68" s="50">
        <f>SUMPRODUCT(F12:F59,I12:I59)</f>
        <v>33519.659999999996</v>
      </c>
      <c r="L68" s="50"/>
      <c r="M68" s="50"/>
      <c r="N68" s="50"/>
    </row>
    <row r="69" spans="4:15" x14ac:dyDescent="0.25">
      <c r="D69" s="47"/>
      <c r="E69" s="50"/>
      <c r="K69" s="50">
        <f>K68-L61</f>
        <v>0</v>
      </c>
      <c r="L69" s="42"/>
      <c r="M69" s="42"/>
      <c r="N69" s="42"/>
    </row>
    <row r="70" spans="4:15" x14ac:dyDescent="0.25">
      <c r="D70" s="47"/>
      <c r="E70" s="50"/>
      <c r="J70" s="47" t="s">
        <v>17</v>
      </c>
      <c r="K70" s="248">
        <f>$K$61/$L$61</f>
        <v>0.62061787022899395</v>
      </c>
    </row>
    <row r="71" spans="4:15" x14ac:dyDescent="0.25">
      <c r="J71" s="47" t="s">
        <v>89</v>
      </c>
      <c r="K71" s="248">
        <f>$J$61/$L$61</f>
        <v>0.37938212977100594</v>
      </c>
      <c r="L71" s="50"/>
      <c r="M71" s="50"/>
      <c r="N71" s="50"/>
    </row>
    <row r="73" spans="4:15" x14ac:dyDescent="0.25">
      <c r="O73" s="50"/>
    </row>
    <row r="74" spans="4:15" x14ac:dyDescent="0.25">
      <c r="O74" s="47"/>
    </row>
    <row r="76" spans="4:15" x14ac:dyDescent="0.25">
      <c r="L76" s="50"/>
      <c r="M76" s="50"/>
      <c r="N76" s="50"/>
    </row>
    <row r="77" spans="4:15" x14ac:dyDescent="0.25">
      <c r="L77" s="50"/>
      <c r="M77" s="50"/>
      <c r="N77" s="50"/>
    </row>
    <row r="78" spans="4:15" x14ac:dyDescent="0.25">
      <c r="L78" s="50"/>
      <c r="M78" s="50"/>
      <c r="N78" s="50"/>
    </row>
  </sheetData>
  <autoFilter ref="A8:Q59">
    <filterColumn colId="6" showButton="0"/>
    <filterColumn colId="9" showButton="0"/>
  </autoFilter>
  <mergeCells count="15">
    <mergeCell ref="A7:O7"/>
    <mergeCell ref="O8:O9"/>
    <mergeCell ref="D8:D9"/>
    <mergeCell ref="A2:I2"/>
    <mergeCell ref="Q8:Q9"/>
    <mergeCell ref="G8:H8"/>
    <mergeCell ref="J8:K8"/>
    <mergeCell ref="A8:A9"/>
    <mergeCell ref="E8:E9"/>
    <mergeCell ref="F8:F9"/>
    <mergeCell ref="L8:L9"/>
    <mergeCell ref="C8:C9"/>
    <mergeCell ref="B8:B9"/>
    <mergeCell ref="M8:M9"/>
    <mergeCell ref="N8:N9"/>
  </mergeCells>
  <phoneticPr fontId="29" type="noConversion"/>
  <printOptions horizontalCentered="1"/>
  <pageMargins left="0.19685039370078741" right="0.19685039370078741" top="0.39370078740157483" bottom="0.59055118110236227" header="0" footer="0.19685039370078741"/>
  <pageSetup paperSize="9" scale="67" fitToHeight="0" orientation="landscape" r:id="rId1"/>
  <headerFooter>
    <oddFooter>&amp;CPág.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Z303"/>
  <sheetViews>
    <sheetView showGridLines="0" view="pageBreakPreview" topLeftCell="C1" zoomScaleSheetLayoutView="100" workbookViewId="0">
      <pane ySplit="10" topLeftCell="A11" activePane="bottomLeft" state="frozen"/>
      <selection activeCell="B7" sqref="B7:G7"/>
      <selection pane="bottomLeft" activeCell="M246" sqref="M246"/>
    </sheetView>
  </sheetViews>
  <sheetFormatPr defaultColWidth="9.140625" defaultRowHeight="15" x14ac:dyDescent="0.25"/>
  <cols>
    <col min="1" max="1" width="9" style="100" customWidth="1"/>
    <col min="2" max="2" width="13.28515625" style="100" customWidth="1"/>
    <col min="3" max="3" width="10.85546875" style="100" customWidth="1"/>
    <col min="4" max="4" width="51.7109375" style="35" customWidth="1"/>
    <col min="5" max="5" width="8" style="35" customWidth="1"/>
    <col min="6" max="10" width="11" style="35" customWidth="1"/>
    <col min="11" max="12" width="11.42578125" style="35" customWidth="1"/>
    <col min="13" max="13" width="12.7109375" style="82" customWidth="1"/>
    <col min="14" max="14" width="12.85546875" style="35" customWidth="1"/>
    <col min="15" max="15" width="13.5703125" style="35" customWidth="1"/>
    <col min="16" max="16" width="12.85546875" style="35" customWidth="1"/>
    <col min="17" max="18" width="15.42578125" style="35" customWidth="1"/>
    <col min="19" max="19" width="17.5703125" style="35" bestFit="1" customWidth="1"/>
    <col min="20" max="20" width="8.5703125" style="35" customWidth="1"/>
    <col min="21" max="21" width="17.5703125" style="35" bestFit="1" customWidth="1"/>
    <col min="22" max="22" width="8" style="35" customWidth="1"/>
    <col min="23" max="23" width="9.42578125" style="35" customWidth="1"/>
    <col min="24" max="24" width="20.42578125" style="35" customWidth="1"/>
    <col min="25" max="25" width="14.85546875" style="35" customWidth="1"/>
    <col min="26" max="26" width="16" style="35" customWidth="1"/>
    <col min="27" max="27" width="14.140625" style="35" bestFit="1" customWidth="1"/>
    <col min="28" max="16384" width="9.140625" style="35"/>
  </cols>
  <sheetData>
    <row r="2" spans="1:25" s="28" customFormat="1" ht="13.5" customHeight="1" x14ac:dyDescent="0.25">
      <c r="A2" s="656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8"/>
      <c r="P2" s="494"/>
      <c r="Q2" s="228"/>
      <c r="R2" s="228"/>
      <c r="S2" s="228"/>
      <c r="T2" s="228"/>
      <c r="U2" s="228"/>
      <c r="V2" s="229"/>
      <c r="W2" s="353"/>
    </row>
    <row r="3" spans="1:25" s="28" customFormat="1" x14ac:dyDescent="0.25">
      <c r="A3" s="207"/>
      <c r="B3" s="387"/>
      <c r="C3" s="387" t="s">
        <v>4</v>
      </c>
      <c r="D3" s="59" t="str">
        <f>'Dados Gerais'!$E$10</f>
        <v>HCPA - CPE - Projeto Laboratórios de Pesquisa</v>
      </c>
      <c r="E3" s="59"/>
      <c r="F3" s="59"/>
      <c r="G3" s="59"/>
      <c r="H3" s="59"/>
      <c r="I3" s="59"/>
      <c r="J3" s="59"/>
      <c r="K3" s="59"/>
      <c r="L3" s="59"/>
      <c r="M3" s="80"/>
      <c r="N3" s="59"/>
      <c r="O3" s="220"/>
      <c r="P3" s="396"/>
      <c r="Q3" s="26"/>
      <c r="R3" s="26"/>
      <c r="S3" s="26"/>
      <c r="T3" s="26"/>
      <c r="U3" s="26"/>
      <c r="V3" s="27"/>
      <c r="W3" s="26"/>
    </row>
    <row r="4" spans="1:25" s="28" customFormat="1" x14ac:dyDescent="0.25">
      <c r="A4" s="207"/>
      <c r="B4" s="387"/>
      <c r="C4" s="387" t="s">
        <v>99</v>
      </c>
      <c r="D4" s="59" t="str">
        <f>'Dados Gerais'!$E$11</f>
        <v>CPE - 2º Pavimento</v>
      </c>
      <c r="E4" s="59"/>
      <c r="F4" s="59"/>
      <c r="G4" s="59"/>
      <c r="H4" s="59"/>
      <c r="I4" s="59"/>
      <c r="J4" s="59"/>
      <c r="K4" s="59"/>
      <c r="L4" s="59"/>
      <c r="M4" s="81"/>
      <c r="N4" s="77"/>
      <c r="O4" s="398"/>
      <c r="P4" s="396"/>
      <c r="Q4" s="26"/>
      <c r="R4" s="26"/>
      <c r="S4" s="26"/>
      <c r="T4" s="26"/>
      <c r="U4" s="26"/>
      <c r="V4" s="27"/>
      <c r="W4" s="26"/>
    </row>
    <row r="5" spans="1:25" s="30" customFormat="1" x14ac:dyDescent="0.25">
      <c r="A5" s="313"/>
      <c r="B5" s="388"/>
      <c r="C5" s="388" t="s">
        <v>67</v>
      </c>
      <c r="D5" s="230" t="str">
        <f>'Dados Gerais'!$E$12</f>
        <v>Porto Alegre / RS</v>
      </c>
      <c r="E5" s="231"/>
      <c r="F5" s="231"/>
      <c r="G5" s="231"/>
      <c r="H5" s="231"/>
      <c r="I5" s="231"/>
      <c r="J5" s="231"/>
      <c r="K5" s="231"/>
      <c r="L5" s="231"/>
      <c r="M5" s="232"/>
      <c r="N5" s="231"/>
      <c r="O5" s="234"/>
      <c r="P5" s="397"/>
      <c r="Q5" s="76"/>
      <c r="R5" s="58" t="s">
        <v>12</v>
      </c>
      <c r="S5" s="31" t="str">
        <f>'Dados Gerais'!E29</f>
        <v>R03</v>
      </c>
      <c r="T5" s="31"/>
      <c r="U5" s="31"/>
      <c r="V5" s="62"/>
      <c r="W5" s="76"/>
    </row>
    <row r="6" spans="1:25" s="32" customFormat="1" x14ac:dyDescent="0.25">
      <c r="A6" s="497"/>
      <c r="B6" s="498"/>
      <c r="C6" s="498"/>
      <c r="D6" s="499" t="str">
        <f>'Dados Gerais'!$E$22</f>
        <v>-</v>
      </c>
      <c r="E6" s="500" t="s">
        <v>13</v>
      </c>
      <c r="F6" s="500"/>
      <c r="G6" s="500"/>
      <c r="H6" s="500"/>
      <c r="I6" s="500"/>
      <c r="J6" s="500"/>
      <c r="K6" s="500"/>
      <c r="L6" s="500"/>
      <c r="M6" s="501">
        <f>+Resumo!C7</f>
        <v>0.25</v>
      </c>
      <c r="N6" s="495" t="s">
        <v>62</v>
      </c>
      <c r="O6" s="502">
        <f>'Dados Gerais'!$E$18</f>
        <v>3</v>
      </c>
      <c r="P6" s="503"/>
      <c r="Q6" s="504"/>
      <c r="R6" s="505" t="s">
        <v>11</v>
      </c>
      <c r="S6" s="496">
        <f>'Dados Gerais'!E26</f>
        <v>44426</v>
      </c>
      <c r="T6" s="496"/>
      <c r="U6" s="496"/>
      <c r="V6" s="506"/>
      <c r="W6" s="103"/>
    </row>
    <row r="7" spans="1:25" s="28" customFormat="1" ht="17.25" x14ac:dyDescent="0.35">
      <c r="A7" s="651" t="s">
        <v>106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3"/>
      <c r="W7" s="226"/>
      <c r="X7" s="26"/>
    </row>
    <row r="8" spans="1:25" s="33" customFormat="1" ht="15" customHeight="1" x14ac:dyDescent="0.25">
      <c r="A8" s="665" t="s">
        <v>0</v>
      </c>
      <c r="B8" s="667" t="s">
        <v>44</v>
      </c>
      <c r="C8" s="667" t="s">
        <v>114</v>
      </c>
      <c r="D8" s="655" t="s">
        <v>1</v>
      </c>
      <c r="E8" s="670" t="s">
        <v>3</v>
      </c>
      <c r="F8" s="670" t="s">
        <v>859</v>
      </c>
      <c r="G8" s="670" t="s">
        <v>860</v>
      </c>
      <c r="H8" s="670" t="s">
        <v>959</v>
      </c>
      <c r="I8" s="670" t="s">
        <v>861</v>
      </c>
      <c r="J8" s="670" t="s">
        <v>862</v>
      </c>
      <c r="K8" s="670" t="s">
        <v>863</v>
      </c>
      <c r="L8" s="670" t="s">
        <v>960</v>
      </c>
      <c r="M8" s="667" t="s">
        <v>2</v>
      </c>
      <c r="N8" s="661" t="s">
        <v>55</v>
      </c>
      <c r="O8" s="662"/>
      <c r="P8" s="235"/>
      <c r="Q8" s="663" t="s">
        <v>54</v>
      </c>
      <c r="R8" s="664"/>
      <c r="S8" s="655" t="s">
        <v>84</v>
      </c>
      <c r="T8" s="655" t="s">
        <v>121</v>
      </c>
      <c r="U8" s="655" t="s">
        <v>120</v>
      </c>
      <c r="V8" s="654" t="s">
        <v>103</v>
      </c>
      <c r="W8" s="225"/>
      <c r="X8" s="668"/>
      <c r="Y8" s="224"/>
    </row>
    <row r="9" spans="1:25" s="28" customFormat="1" ht="33" customHeight="1" x14ac:dyDescent="0.25">
      <c r="A9" s="665"/>
      <c r="B9" s="666"/>
      <c r="C9" s="666"/>
      <c r="D9" s="655"/>
      <c r="E9" s="671"/>
      <c r="F9" s="671"/>
      <c r="G9" s="671"/>
      <c r="H9" s="671"/>
      <c r="I9" s="671"/>
      <c r="J9" s="671"/>
      <c r="K9" s="671"/>
      <c r="L9" s="671"/>
      <c r="M9" s="672"/>
      <c r="N9" s="236" t="s">
        <v>8</v>
      </c>
      <c r="O9" s="236" t="s">
        <v>9</v>
      </c>
      <c r="P9" s="236" t="s">
        <v>10</v>
      </c>
      <c r="Q9" s="236" t="s">
        <v>8</v>
      </c>
      <c r="R9" s="236" t="s">
        <v>9</v>
      </c>
      <c r="S9" s="655"/>
      <c r="T9" s="655"/>
      <c r="U9" s="655"/>
      <c r="V9" s="654"/>
      <c r="W9" s="225"/>
      <c r="X9" s="669"/>
      <c r="Y9" s="26"/>
    </row>
    <row r="10" spans="1:25" s="71" customFormat="1" ht="23.25" x14ac:dyDescent="0.25">
      <c r="A10" s="342" t="s">
        <v>90</v>
      </c>
      <c r="B10" s="401"/>
      <c r="C10" s="401"/>
      <c r="D10" s="327" t="s">
        <v>753</v>
      </c>
      <c r="E10" s="328"/>
      <c r="F10" s="328"/>
      <c r="G10" s="328"/>
      <c r="H10" s="328"/>
      <c r="I10" s="328"/>
      <c r="J10" s="328"/>
      <c r="K10" s="328"/>
      <c r="L10" s="328"/>
      <c r="M10" s="329"/>
      <c r="N10" s="330"/>
      <c r="O10" s="330"/>
      <c r="P10" s="330"/>
      <c r="Q10" s="331">
        <f>Q20+Q22+Q24+Q30+Q46+Q51+Q71+Q81+Q158+Q207+Q209+Q245+Q253+Q11+Q203+Q205</f>
        <v>83046.740000000005</v>
      </c>
      <c r="R10" s="331">
        <f>R20+R22+R24+R30+R46+R51+R71+R81+R158+R207+R209+R245+R253+R11+R203+R205</f>
        <v>299913.48</v>
      </c>
      <c r="S10" s="331">
        <f>S20+S22+S24+S30+S46+S51+S71+S81+S158+S207+S209+S245+S253+S11+S203+S205</f>
        <v>382960.20999999996</v>
      </c>
      <c r="T10" s="331"/>
      <c r="U10" s="331">
        <f>U20+U22+U24+U30+U46+U51+U71+U81+U158+U207+U209+U245+U253+U11+U203+U205</f>
        <v>478700.46000000008</v>
      </c>
      <c r="V10" s="347">
        <f>+S10/Resumo!$D$33</f>
        <v>0.91951673438622605</v>
      </c>
      <c r="W10" s="104" t="s">
        <v>86</v>
      </c>
      <c r="X10" s="122"/>
      <c r="Y10" s="118"/>
    </row>
    <row r="11" spans="1:25" s="34" customFormat="1" ht="15.75" x14ac:dyDescent="0.25">
      <c r="A11" s="339" t="s">
        <v>175</v>
      </c>
      <c r="B11" s="393"/>
      <c r="C11" s="393"/>
      <c r="D11" s="63" t="s">
        <v>394</v>
      </c>
      <c r="E11" s="132"/>
      <c r="F11" s="132"/>
      <c r="G11" s="132"/>
      <c r="H11" s="132"/>
      <c r="I11" s="132"/>
      <c r="J11" s="132"/>
      <c r="K11" s="132"/>
      <c r="L11" s="132"/>
      <c r="M11" s="45"/>
      <c r="N11" s="45"/>
      <c r="O11" s="45"/>
      <c r="P11" s="45"/>
      <c r="Q11" s="45">
        <f>SUM(Q12:Q19)</f>
        <v>1902.3</v>
      </c>
      <c r="R11" s="45">
        <f>SUM(R12:R19)</f>
        <v>493.05999999999995</v>
      </c>
      <c r="S11" s="45">
        <f>SUM(S12:S19)</f>
        <v>2395.3599999999997</v>
      </c>
      <c r="T11" s="45"/>
      <c r="U11" s="45">
        <f>SUM(U12:U19)</f>
        <v>2994.21</v>
      </c>
      <c r="V11" s="172">
        <f>+S11/Resumo!$D$33</f>
        <v>5.7514424406634578E-3</v>
      </c>
      <c r="W11" s="104" t="s">
        <v>86</v>
      </c>
      <c r="X11" s="123"/>
    </row>
    <row r="12" spans="1:25" s="72" customFormat="1" ht="30" x14ac:dyDescent="0.25">
      <c r="A12" s="517" t="s">
        <v>395</v>
      </c>
      <c r="B12" s="518" t="s">
        <v>94</v>
      </c>
      <c r="C12" s="519">
        <v>97637</v>
      </c>
      <c r="D12" s="520" t="s">
        <v>865</v>
      </c>
      <c r="E12" s="521" t="s">
        <v>61</v>
      </c>
      <c r="F12" s="690">
        <v>0</v>
      </c>
      <c r="G12" s="399"/>
      <c r="H12" s="691">
        <f>SUM(F12:G12)</f>
        <v>0</v>
      </c>
      <c r="I12" s="399">
        <v>144.97999999999999</v>
      </c>
      <c r="J12" s="399">
        <v>0</v>
      </c>
      <c r="K12" s="399">
        <v>4.26</v>
      </c>
      <c r="L12" s="588">
        <f>SUM(I12:K12)</f>
        <v>149.23999999999998</v>
      </c>
      <c r="M12" s="530">
        <f t="shared" ref="M12:M19" si="0">H12+L12</f>
        <v>149.23999999999998</v>
      </c>
      <c r="N12" s="102">
        <v>1.75</v>
      </c>
      <c r="O12" s="102">
        <v>0.45</v>
      </c>
      <c r="P12" s="102">
        <f t="shared" ref="P12:P13" si="1">+ROUND(N12+O12,2)</f>
        <v>2.2000000000000002</v>
      </c>
      <c r="Q12" s="102">
        <f t="shared" ref="Q12:Q13" si="2">ROUND(N12*M12,2)</f>
        <v>261.17</v>
      </c>
      <c r="R12" s="102">
        <f t="shared" ref="R12:R13" si="3">ROUND(O12*M12,2)</f>
        <v>67.16</v>
      </c>
      <c r="S12" s="102">
        <f t="shared" ref="S12:S13" si="4">ROUND(P12*M12,2)</f>
        <v>328.33</v>
      </c>
      <c r="T12" s="410">
        <f t="shared" ref="T12:T19" si="5">$M$6</f>
        <v>0.25</v>
      </c>
      <c r="U12" s="408">
        <f t="shared" ref="U12:U13" si="6">ROUND(S12*(1+T12),2)</f>
        <v>410.41</v>
      </c>
      <c r="V12" s="171">
        <f>+S12/Resumo!$D$33</f>
        <v>7.883454247140444E-4</v>
      </c>
      <c r="W12" s="104"/>
      <c r="X12" s="124"/>
      <c r="Y12" s="358"/>
    </row>
    <row r="13" spans="1:25" s="72" customFormat="1" ht="30" x14ac:dyDescent="0.25">
      <c r="A13" s="517" t="s">
        <v>397</v>
      </c>
      <c r="B13" s="518" t="s">
        <v>94</v>
      </c>
      <c r="C13" s="519">
        <v>97644</v>
      </c>
      <c r="D13" s="520" t="s">
        <v>396</v>
      </c>
      <c r="E13" s="521" t="s">
        <v>61</v>
      </c>
      <c r="F13" s="690">
        <f>1*0.8*2.1</f>
        <v>1.6800000000000002</v>
      </c>
      <c r="G13" s="399"/>
      <c r="H13" s="691">
        <f t="shared" ref="H13:H18" si="7">SUM(F13:G13)</f>
        <v>1.6800000000000002</v>
      </c>
      <c r="I13" s="399">
        <f>3*1.2*2.1</f>
        <v>7.56</v>
      </c>
      <c r="J13" s="399">
        <v>0</v>
      </c>
      <c r="K13" s="399">
        <f>2*1.2*2.1</f>
        <v>5.04</v>
      </c>
      <c r="L13" s="588">
        <f t="shared" ref="L13:L29" si="8">SUM(I13:K13)</f>
        <v>12.6</v>
      </c>
      <c r="M13" s="530">
        <f t="shared" si="0"/>
        <v>14.28</v>
      </c>
      <c r="N13" s="102">
        <v>5.52</v>
      </c>
      <c r="O13" s="102">
        <v>1.61</v>
      </c>
      <c r="P13" s="102">
        <f t="shared" si="1"/>
        <v>7.13</v>
      </c>
      <c r="Q13" s="102">
        <f t="shared" si="2"/>
        <v>78.83</v>
      </c>
      <c r="R13" s="102">
        <f t="shared" si="3"/>
        <v>22.99</v>
      </c>
      <c r="S13" s="102">
        <f t="shared" si="4"/>
        <v>101.82</v>
      </c>
      <c r="T13" s="410">
        <f t="shared" si="5"/>
        <v>0.25</v>
      </c>
      <c r="U13" s="408">
        <f t="shared" si="6"/>
        <v>127.28</v>
      </c>
      <c r="V13" s="171">
        <f>+S13/Resumo!$D$33</f>
        <v>2.4447760224281665E-4</v>
      </c>
      <c r="W13" s="104"/>
      <c r="X13" s="124"/>
      <c r="Y13" s="358"/>
    </row>
    <row r="14" spans="1:25" s="72" customFormat="1" ht="30" x14ac:dyDescent="0.25">
      <c r="A14" s="517" t="s">
        <v>398</v>
      </c>
      <c r="B14" s="518" t="s">
        <v>94</v>
      </c>
      <c r="C14" s="519">
        <v>97640</v>
      </c>
      <c r="D14" s="520" t="s">
        <v>723</v>
      </c>
      <c r="E14" s="521" t="s">
        <v>61</v>
      </c>
      <c r="F14" s="690">
        <v>10.71</v>
      </c>
      <c r="G14" s="399"/>
      <c r="H14" s="691">
        <f t="shared" si="7"/>
        <v>10.71</v>
      </c>
      <c r="I14" s="399">
        <v>101.9</v>
      </c>
      <c r="J14" s="399">
        <v>29.2</v>
      </c>
      <c r="K14" s="399">
        <v>0</v>
      </c>
      <c r="L14" s="588">
        <f t="shared" si="8"/>
        <v>131.1</v>
      </c>
      <c r="M14" s="530">
        <f t="shared" si="0"/>
        <v>141.81</v>
      </c>
      <c r="N14" s="102">
        <v>1.1200000000000001</v>
      </c>
      <c r="O14" s="102">
        <f>1.38-N14</f>
        <v>0.25999999999999979</v>
      </c>
      <c r="P14" s="102">
        <f t="shared" ref="P14" si="9">+ROUND(N14+O14,2)</f>
        <v>1.38</v>
      </c>
      <c r="Q14" s="102">
        <f t="shared" ref="Q14" si="10">ROUND(N14*M14,2)</f>
        <v>158.83000000000001</v>
      </c>
      <c r="R14" s="102">
        <f t="shared" ref="R14" si="11">ROUND(O14*M14,2)</f>
        <v>36.869999999999997</v>
      </c>
      <c r="S14" s="102">
        <f t="shared" ref="S14" si="12">ROUND(P14*M14,2)</f>
        <v>195.7</v>
      </c>
      <c r="T14" s="410">
        <f t="shared" si="5"/>
        <v>0.25</v>
      </c>
      <c r="U14" s="408">
        <f t="shared" ref="U14" si="13">ROUND(S14*(1+T14),2)</f>
        <v>244.63</v>
      </c>
      <c r="V14" s="171">
        <f>+S14/Resumo!$D$33</f>
        <v>4.6989065762049911E-4</v>
      </c>
      <c r="W14" s="104"/>
      <c r="X14" s="124"/>
      <c r="Y14" s="358"/>
    </row>
    <row r="15" spans="1:25" s="72" customFormat="1" ht="30" x14ac:dyDescent="0.25">
      <c r="A15" s="517" t="s">
        <v>722</v>
      </c>
      <c r="B15" s="518" t="s">
        <v>94</v>
      </c>
      <c r="C15" s="519">
        <v>97663</v>
      </c>
      <c r="D15" s="520" t="s">
        <v>725</v>
      </c>
      <c r="E15" s="521" t="s">
        <v>46</v>
      </c>
      <c r="F15" s="690">
        <v>0</v>
      </c>
      <c r="G15" s="399"/>
      <c r="H15" s="691">
        <f t="shared" si="7"/>
        <v>0</v>
      </c>
      <c r="I15" s="399">
        <v>0</v>
      </c>
      <c r="J15" s="399">
        <v>0</v>
      </c>
      <c r="K15" s="399">
        <v>0</v>
      </c>
      <c r="L15" s="588">
        <f t="shared" si="8"/>
        <v>0</v>
      </c>
      <c r="M15" s="530">
        <f t="shared" si="0"/>
        <v>0</v>
      </c>
      <c r="N15" s="102">
        <v>7.37</v>
      </c>
      <c r="O15" s="102">
        <f>9.46-N15</f>
        <v>2.0900000000000007</v>
      </c>
      <c r="P15" s="102">
        <f t="shared" ref="P15" si="14">+ROUND(N15+O15,2)</f>
        <v>9.4600000000000009</v>
      </c>
      <c r="Q15" s="102">
        <f t="shared" ref="Q15" si="15">ROUND(N15*M15,2)</f>
        <v>0</v>
      </c>
      <c r="R15" s="102">
        <f t="shared" ref="R15" si="16">ROUND(O15*M15,2)</f>
        <v>0</v>
      </c>
      <c r="S15" s="102">
        <f t="shared" ref="S15" si="17">ROUND(P15*M15,2)</f>
        <v>0</v>
      </c>
      <c r="T15" s="410">
        <f t="shared" si="5"/>
        <v>0.25</v>
      </c>
      <c r="U15" s="408">
        <f t="shared" ref="U15" si="18">ROUND(S15*(1+T15),2)</f>
        <v>0</v>
      </c>
      <c r="V15" s="171">
        <f>+S15/Resumo!$D$33</f>
        <v>0</v>
      </c>
      <c r="W15" s="104"/>
      <c r="X15" s="124"/>
      <c r="Y15" s="358"/>
    </row>
    <row r="16" spans="1:25" s="72" customFormat="1" ht="30" x14ac:dyDescent="0.25">
      <c r="A16" s="517" t="s">
        <v>724</v>
      </c>
      <c r="B16" s="518" t="s">
        <v>115</v>
      </c>
      <c r="C16" s="522" t="str">
        <f>A16</f>
        <v>2.1.5</v>
      </c>
      <c r="D16" s="520" t="s">
        <v>881</v>
      </c>
      <c r="E16" s="521" t="s">
        <v>46</v>
      </c>
      <c r="F16" s="690">
        <v>0</v>
      </c>
      <c r="G16" s="399"/>
      <c r="H16" s="691">
        <f t="shared" si="7"/>
        <v>0</v>
      </c>
      <c r="I16" s="399">
        <v>0</v>
      </c>
      <c r="J16" s="399">
        <v>0</v>
      </c>
      <c r="K16" s="399">
        <v>0</v>
      </c>
      <c r="L16" s="588">
        <f t="shared" si="8"/>
        <v>0</v>
      </c>
      <c r="M16" s="530">
        <f t="shared" si="0"/>
        <v>0</v>
      </c>
      <c r="N16" s="102">
        <f>(ROUND(VLOOKUP(D16,Comp!$B$2:$M$23042,12,0),2))</f>
        <v>25.67</v>
      </c>
      <c r="O16" s="102">
        <f>ROUND(VLOOKUP(D16,Comp!$B$8:$M$23042,7,0),2)</f>
        <v>0</v>
      </c>
      <c r="P16" s="102">
        <f t="shared" ref="P16:P18" si="19">+ROUND(N16+O16,2)</f>
        <v>25.67</v>
      </c>
      <c r="Q16" s="102">
        <f t="shared" ref="Q16:Q18" si="20">ROUND(N16*M16,2)</f>
        <v>0</v>
      </c>
      <c r="R16" s="102">
        <f t="shared" ref="R16:R18" si="21">ROUND(O16*M16,2)</f>
        <v>0</v>
      </c>
      <c r="S16" s="102">
        <f t="shared" ref="S16:S18" si="22">ROUND(P16*M16,2)</f>
        <v>0</v>
      </c>
      <c r="T16" s="410">
        <f t="shared" si="5"/>
        <v>0.25</v>
      </c>
      <c r="U16" s="408">
        <f t="shared" ref="U16:U18" si="23">ROUND(S16*(1+T16),2)</f>
        <v>0</v>
      </c>
      <c r="V16" s="171">
        <f>+S16/Resumo!$D$33</f>
        <v>0</v>
      </c>
      <c r="W16" s="104"/>
      <c r="X16" s="124"/>
      <c r="Y16" s="358"/>
    </row>
    <row r="17" spans="1:26" s="72" customFormat="1" ht="30" x14ac:dyDescent="0.25">
      <c r="A17" s="517" t="s">
        <v>726</v>
      </c>
      <c r="B17" s="518" t="s">
        <v>94</v>
      </c>
      <c r="C17" s="519">
        <v>97622</v>
      </c>
      <c r="D17" s="520" t="s">
        <v>866</v>
      </c>
      <c r="E17" s="521" t="s">
        <v>868</v>
      </c>
      <c r="F17" s="690">
        <f>6.86*0.15</f>
        <v>1.0289999999999999</v>
      </c>
      <c r="G17" s="399"/>
      <c r="H17" s="691">
        <f t="shared" si="7"/>
        <v>1.0289999999999999</v>
      </c>
      <c r="I17" s="399">
        <v>0</v>
      </c>
      <c r="J17" s="399">
        <v>0</v>
      </c>
      <c r="K17" s="399">
        <v>0</v>
      </c>
      <c r="L17" s="588">
        <f t="shared" si="8"/>
        <v>0</v>
      </c>
      <c r="M17" s="530">
        <f t="shared" si="0"/>
        <v>1.0289999999999999</v>
      </c>
      <c r="N17" s="102">
        <v>33.69</v>
      </c>
      <c r="O17" s="102">
        <v>10.73</v>
      </c>
      <c r="P17" s="102">
        <f t="shared" si="19"/>
        <v>44.42</v>
      </c>
      <c r="Q17" s="102">
        <f t="shared" si="20"/>
        <v>34.67</v>
      </c>
      <c r="R17" s="102">
        <f t="shared" si="21"/>
        <v>11.04</v>
      </c>
      <c r="S17" s="102">
        <f t="shared" si="22"/>
        <v>45.71</v>
      </c>
      <c r="T17" s="410">
        <f t="shared" si="5"/>
        <v>0.25</v>
      </c>
      <c r="U17" s="408">
        <f t="shared" si="23"/>
        <v>57.14</v>
      </c>
      <c r="V17" s="171">
        <f>+S17/Resumo!$D$33</f>
        <v>1.0975320367824741E-4</v>
      </c>
      <c r="W17" s="104"/>
      <c r="X17" s="124"/>
      <c r="Y17" s="358"/>
    </row>
    <row r="18" spans="1:26" s="72" customFormat="1" ht="30" x14ac:dyDescent="0.25">
      <c r="A18" s="517" t="s">
        <v>864</v>
      </c>
      <c r="B18" s="518" t="s">
        <v>115</v>
      </c>
      <c r="C18" s="522" t="str">
        <f>A18</f>
        <v>2.1.7</v>
      </c>
      <c r="D18" s="520" t="s">
        <v>882</v>
      </c>
      <c r="E18" s="521" t="s">
        <v>46</v>
      </c>
      <c r="F18" s="690">
        <v>0</v>
      </c>
      <c r="G18" s="399"/>
      <c r="H18" s="691">
        <f t="shared" si="7"/>
        <v>0</v>
      </c>
      <c r="I18" s="399">
        <v>0</v>
      </c>
      <c r="J18" s="399">
        <v>0</v>
      </c>
      <c r="K18" s="399">
        <v>0</v>
      </c>
      <c r="L18" s="588">
        <f t="shared" si="8"/>
        <v>0</v>
      </c>
      <c r="M18" s="530">
        <f t="shared" si="0"/>
        <v>0</v>
      </c>
      <c r="N18" s="102">
        <f>(ROUND(VLOOKUP(D18,Comp!$B$2:$M$23042,12,0),2))</f>
        <v>25.67</v>
      </c>
      <c r="O18" s="102">
        <f>ROUND(VLOOKUP(D18,Comp!$B$8:$M$23042,7,0),2)</f>
        <v>0</v>
      </c>
      <c r="P18" s="102">
        <f t="shared" si="19"/>
        <v>25.67</v>
      </c>
      <c r="Q18" s="102">
        <f t="shared" si="20"/>
        <v>0</v>
      </c>
      <c r="R18" s="102">
        <f t="shared" si="21"/>
        <v>0</v>
      </c>
      <c r="S18" s="102">
        <f t="shared" si="22"/>
        <v>0</v>
      </c>
      <c r="T18" s="410">
        <f t="shared" si="5"/>
        <v>0.25</v>
      </c>
      <c r="U18" s="408">
        <f t="shared" si="23"/>
        <v>0</v>
      </c>
      <c r="V18" s="171">
        <f>+S18/Resumo!$D$33</f>
        <v>0</v>
      </c>
      <c r="W18" s="104"/>
      <c r="X18" s="124"/>
      <c r="Y18" s="358"/>
    </row>
    <row r="19" spans="1:26" s="72" customFormat="1" ht="30" x14ac:dyDescent="0.25">
      <c r="A19" s="517" t="s">
        <v>867</v>
      </c>
      <c r="B19" s="518" t="s">
        <v>115</v>
      </c>
      <c r="C19" s="522" t="str">
        <f>A19</f>
        <v>2.1.8</v>
      </c>
      <c r="D19" s="520" t="s">
        <v>517</v>
      </c>
      <c r="E19" s="521" t="s">
        <v>46</v>
      </c>
      <c r="F19" s="690">
        <v>0</v>
      </c>
      <c r="G19" s="399"/>
      <c r="H19" s="691">
        <v>0.5</v>
      </c>
      <c r="I19" s="399">
        <v>0</v>
      </c>
      <c r="J19" s="399">
        <v>0</v>
      </c>
      <c r="K19" s="399">
        <v>0</v>
      </c>
      <c r="L19" s="588">
        <v>0.5</v>
      </c>
      <c r="M19" s="530">
        <f t="shared" si="0"/>
        <v>1</v>
      </c>
      <c r="N19" s="102">
        <f>(ROUND(VLOOKUP(D19,Comp!$B$2:$M$23042,12,0),2))</f>
        <v>1368.8</v>
      </c>
      <c r="O19" s="102">
        <f>ROUND(VLOOKUP(D19,Comp!$B$8:$M$23042,7,0),2)</f>
        <v>355</v>
      </c>
      <c r="P19" s="102">
        <f t="shared" ref="P19" si="24">+ROUND(N19+O19,2)</f>
        <v>1723.8</v>
      </c>
      <c r="Q19" s="102">
        <f t="shared" ref="Q19" si="25">ROUND(N19*M19,2)</f>
        <v>1368.8</v>
      </c>
      <c r="R19" s="102">
        <f t="shared" ref="R19" si="26">ROUND(O19*M19,2)</f>
        <v>355</v>
      </c>
      <c r="S19" s="102">
        <f t="shared" ref="S19" si="27">ROUND(P19*M19,2)</f>
        <v>1723.8</v>
      </c>
      <c r="T19" s="410">
        <f t="shared" si="5"/>
        <v>0.25</v>
      </c>
      <c r="U19" s="408">
        <f t="shared" ref="U19" si="28">ROUND(S19*(1+T19),2)</f>
        <v>2154.75</v>
      </c>
      <c r="V19" s="171">
        <f>+S19/Resumo!$D$33</f>
        <v>4.1389755524078508E-3</v>
      </c>
      <c r="W19" s="104"/>
      <c r="X19" s="124"/>
      <c r="Y19" s="358"/>
    </row>
    <row r="20" spans="1:26" s="34" customFormat="1" ht="15.75" x14ac:dyDescent="0.25">
      <c r="A20" s="339" t="s">
        <v>177</v>
      </c>
      <c r="B20" s="393"/>
      <c r="C20" s="393"/>
      <c r="D20" s="63" t="s">
        <v>91</v>
      </c>
      <c r="E20" s="132"/>
      <c r="F20" s="132"/>
      <c r="G20" s="132"/>
      <c r="H20" s="132"/>
      <c r="I20" s="132"/>
      <c r="J20" s="132"/>
      <c r="K20" s="132"/>
      <c r="L20" s="132"/>
      <c r="M20" s="45"/>
      <c r="N20" s="45"/>
      <c r="O20" s="45"/>
      <c r="P20" s="45"/>
      <c r="Q20" s="45">
        <f>Q21</f>
        <v>0</v>
      </c>
      <c r="R20" s="45">
        <f t="shared" ref="R20:U20" si="29">R21</f>
        <v>0</v>
      </c>
      <c r="S20" s="45">
        <f t="shared" si="29"/>
        <v>0</v>
      </c>
      <c r="T20" s="45"/>
      <c r="U20" s="45">
        <f t="shared" si="29"/>
        <v>0</v>
      </c>
      <c r="V20" s="172">
        <f>+S20/Resumo!$D$33</f>
        <v>0</v>
      </c>
      <c r="W20" s="104" t="s">
        <v>86</v>
      </c>
      <c r="X20" s="123"/>
      <c r="Y20" s="358"/>
    </row>
    <row r="21" spans="1:26" s="72" customFormat="1" x14ac:dyDescent="0.25">
      <c r="A21" s="517">
        <v>0</v>
      </c>
      <c r="B21" s="518">
        <v>0</v>
      </c>
      <c r="C21" s="518">
        <v>0</v>
      </c>
      <c r="D21" s="523" t="s">
        <v>124</v>
      </c>
      <c r="E21" s="521">
        <v>0</v>
      </c>
      <c r="F21" s="399"/>
      <c r="G21" s="399"/>
      <c r="H21" s="588"/>
      <c r="I21" s="399">
        <v>0</v>
      </c>
      <c r="J21" s="399">
        <v>0</v>
      </c>
      <c r="K21" s="399">
        <v>0</v>
      </c>
      <c r="L21" s="588">
        <f t="shared" si="8"/>
        <v>0</v>
      </c>
      <c r="M21" s="530">
        <v>0</v>
      </c>
      <c r="N21" s="102">
        <v>0</v>
      </c>
      <c r="O21" s="102">
        <v>0</v>
      </c>
      <c r="P21" s="102">
        <f t="shared" ref="P21" si="30">+ROUND(N21+O21,2)</f>
        <v>0</v>
      </c>
      <c r="Q21" s="102">
        <f t="shared" ref="Q21" si="31">ROUND(N21*M21,2)</f>
        <v>0</v>
      </c>
      <c r="R21" s="102">
        <f t="shared" ref="R21" si="32">ROUND(O21*M21,2)</f>
        <v>0</v>
      </c>
      <c r="S21" s="102">
        <f t="shared" ref="S21" si="33">ROUND(P21*M21,2)</f>
        <v>0</v>
      </c>
      <c r="T21" s="410">
        <f t="shared" ref="T21" si="34">$M$6</f>
        <v>0.25</v>
      </c>
      <c r="U21" s="408">
        <f t="shared" ref="U21" si="35">ROUND(S21*(1+T21),2)</f>
        <v>0</v>
      </c>
      <c r="V21" s="171">
        <f>+S21/Resumo!$D$33</f>
        <v>0</v>
      </c>
      <c r="W21" s="104"/>
      <c r="X21" s="124"/>
      <c r="Y21" s="358"/>
    </row>
    <row r="22" spans="1:26" s="34" customFormat="1" ht="15.75" x14ac:dyDescent="0.25">
      <c r="A22" s="339" t="s">
        <v>179</v>
      </c>
      <c r="B22" s="393"/>
      <c r="C22" s="393"/>
      <c r="D22" s="63" t="s">
        <v>111</v>
      </c>
      <c r="E22" s="132"/>
      <c r="F22" s="404"/>
      <c r="G22" s="404"/>
      <c r="H22" s="404"/>
      <c r="I22" s="404"/>
      <c r="J22" s="404"/>
      <c r="K22" s="404"/>
      <c r="L22" s="404"/>
      <c r="M22" s="45"/>
      <c r="N22" s="45"/>
      <c r="O22" s="45"/>
      <c r="P22" s="45"/>
      <c r="Q22" s="45">
        <f>Q23</f>
        <v>0</v>
      </c>
      <c r="R22" s="45">
        <f t="shared" ref="R22" si="36">R23</f>
        <v>0</v>
      </c>
      <c r="S22" s="45">
        <f t="shared" ref="S22" si="37">S23</f>
        <v>0</v>
      </c>
      <c r="T22" s="45"/>
      <c r="U22" s="45">
        <f t="shared" ref="U22" si="38">U23</f>
        <v>0</v>
      </c>
      <c r="V22" s="172">
        <f>+S22/Resumo!$D$33</f>
        <v>0</v>
      </c>
      <c r="W22" s="104" t="s">
        <v>86</v>
      </c>
      <c r="X22" s="123"/>
      <c r="Y22" s="358"/>
    </row>
    <row r="23" spans="1:26" s="72" customFormat="1" x14ac:dyDescent="0.25">
      <c r="A23" s="517">
        <v>0</v>
      </c>
      <c r="B23" s="518">
        <v>0</v>
      </c>
      <c r="C23" s="518">
        <v>0</v>
      </c>
      <c r="D23" s="523" t="s">
        <v>124</v>
      </c>
      <c r="E23" s="521">
        <v>0</v>
      </c>
      <c r="F23" s="399"/>
      <c r="G23" s="399"/>
      <c r="H23" s="588"/>
      <c r="I23" s="399">
        <v>0</v>
      </c>
      <c r="J23" s="399">
        <v>0</v>
      </c>
      <c r="K23" s="399">
        <v>0</v>
      </c>
      <c r="L23" s="588">
        <f t="shared" si="8"/>
        <v>0</v>
      </c>
      <c r="M23" s="530">
        <v>0</v>
      </c>
      <c r="N23" s="102">
        <v>0</v>
      </c>
      <c r="O23" s="102">
        <v>0</v>
      </c>
      <c r="P23" s="102">
        <f t="shared" ref="P23" si="39">+ROUND(N23+O23,2)</f>
        <v>0</v>
      </c>
      <c r="Q23" s="102">
        <f t="shared" ref="Q23" si="40">ROUND(N23*M23,2)</f>
        <v>0</v>
      </c>
      <c r="R23" s="102">
        <f t="shared" ref="R23" si="41">ROUND(O23*M23,2)</f>
        <v>0</v>
      </c>
      <c r="S23" s="102">
        <f t="shared" ref="S23" si="42">ROUND(P23*M23,2)</f>
        <v>0</v>
      </c>
      <c r="T23" s="410">
        <f t="shared" ref="T23" si="43">$M$6</f>
        <v>0.25</v>
      </c>
      <c r="U23" s="408">
        <f t="shared" ref="U23" si="44">ROUND(S23*(1+T23),2)</f>
        <v>0</v>
      </c>
      <c r="V23" s="171">
        <f>+S23/Resumo!$D$33</f>
        <v>0</v>
      </c>
      <c r="W23" s="104"/>
      <c r="X23" s="124"/>
      <c r="Y23" s="358"/>
      <c r="Z23" s="373"/>
    </row>
    <row r="24" spans="1:26" s="34" customFormat="1" ht="15.75" x14ac:dyDescent="0.25">
      <c r="A24" s="339" t="s">
        <v>313</v>
      </c>
      <c r="B24" s="393"/>
      <c r="C24" s="393"/>
      <c r="D24" s="63" t="s">
        <v>68</v>
      </c>
      <c r="E24" s="132"/>
      <c r="F24" s="404"/>
      <c r="G24" s="404"/>
      <c r="H24" s="404"/>
      <c r="I24" s="404"/>
      <c r="J24" s="404"/>
      <c r="K24" s="404"/>
      <c r="L24" s="404"/>
      <c r="M24" s="45"/>
      <c r="N24" s="45"/>
      <c r="O24" s="45"/>
      <c r="P24" s="45"/>
      <c r="Q24" s="45">
        <f>SUM(Q25:Q29)</f>
        <v>3049.9099999999994</v>
      </c>
      <c r="R24" s="45">
        <f>SUM(R25:R29)</f>
        <v>25909.710000000003</v>
      </c>
      <c r="S24" s="45">
        <f>SUM(S25:S29)</f>
        <v>28959.63</v>
      </c>
      <c r="T24" s="45"/>
      <c r="U24" s="45">
        <f>SUM(U25:U29)</f>
        <v>36199.540000000008</v>
      </c>
      <c r="V24" s="172">
        <f>+S24/Resumo!$D$33</f>
        <v>6.9534285054401318E-2</v>
      </c>
      <c r="W24" s="104" t="s">
        <v>86</v>
      </c>
      <c r="X24" s="131"/>
      <c r="Y24" s="358"/>
    </row>
    <row r="25" spans="1:26" s="72" customFormat="1" ht="45" x14ac:dyDescent="0.25">
      <c r="A25" s="524" t="s">
        <v>314</v>
      </c>
      <c r="B25" s="519" t="s">
        <v>94</v>
      </c>
      <c r="C25" s="519">
        <v>96359</v>
      </c>
      <c r="D25" s="520" t="s">
        <v>387</v>
      </c>
      <c r="E25" s="521" t="s">
        <v>61</v>
      </c>
      <c r="F25" s="690">
        <v>0</v>
      </c>
      <c r="G25" s="399"/>
      <c r="H25" s="691">
        <f t="shared" ref="H25:H29" si="45">SUM(F25:G25)</f>
        <v>0</v>
      </c>
      <c r="I25" s="399">
        <v>158.08000000000001</v>
      </c>
      <c r="J25" s="399">
        <v>54.57</v>
      </c>
      <c r="K25" s="399">
        <v>0</v>
      </c>
      <c r="L25" s="588">
        <f t="shared" si="8"/>
        <v>212.65</v>
      </c>
      <c r="M25" s="530">
        <f>H25+L25</f>
        <v>212.65</v>
      </c>
      <c r="N25" s="102">
        <v>12.72</v>
      </c>
      <c r="O25" s="102">
        <v>82.65</v>
      </c>
      <c r="P25" s="102">
        <f>+ROUND(N25+O25,2)</f>
        <v>95.37</v>
      </c>
      <c r="Q25" s="102">
        <f>ROUND(N25*M25,2)</f>
        <v>2704.91</v>
      </c>
      <c r="R25" s="102">
        <f>ROUND(O25*M25,2)</f>
        <v>17575.52</v>
      </c>
      <c r="S25" s="102">
        <f>ROUND(P25*M25,2)</f>
        <v>20280.43</v>
      </c>
      <c r="T25" s="410">
        <f t="shared" ref="T25:T29" si="46">$M$6</f>
        <v>0.25</v>
      </c>
      <c r="U25" s="408">
        <f>ROUND(S25*(1+T25),2)</f>
        <v>25350.54</v>
      </c>
      <c r="V25" s="171">
        <f>+S25/Resumo!$D$33</f>
        <v>4.8694862491193154E-2</v>
      </c>
      <c r="W25" s="104"/>
      <c r="X25" s="120"/>
      <c r="Y25" s="358"/>
    </row>
    <row r="26" spans="1:26" s="72" customFormat="1" ht="30" x14ac:dyDescent="0.25">
      <c r="A26" s="524" t="s">
        <v>716</v>
      </c>
      <c r="B26" s="519" t="s">
        <v>94</v>
      </c>
      <c r="C26" s="519">
        <v>96373</v>
      </c>
      <c r="D26" s="520" t="s">
        <v>720</v>
      </c>
      <c r="E26" s="521" t="s">
        <v>58</v>
      </c>
      <c r="F26" s="690">
        <v>0</v>
      </c>
      <c r="G26" s="399"/>
      <c r="H26" s="691">
        <f t="shared" si="45"/>
        <v>0</v>
      </c>
      <c r="I26" s="399">
        <v>11.78</v>
      </c>
      <c r="J26" s="399">
        <v>2.76</v>
      </c>
      <c r="K26" s="399">
        <v>0</v>
      </c>
      <c r="L26" s="588">
        <f t="shared" si="8"/>
        <v>14.54</v>
      </c>
      <c r="M26" s="530">
        <f>H26+L26</f>
        <v>14.54</v>
      </c>
      <c r="N26" s="102">
        <v>1.25</v>
      </c>
      <c r="O26" s="102">
        <v>10.35</v>
      </c>
      <c r="P26" s="102">
        <f t="shared" ref="P26:P29" si="47">+ROUND(N26+O26,2)</f>
        <v>11.6</v>
      </c>
      <c r="Q26" s="102">
        <f t="shared" ref="Q26:Q29" si="48">ROUND(N26*M26,2)</f>
        <v>18.18</v>
      </c>
      <c r="R26" s="102">
        <f t="shared" ref="R26:R29" si="49">ROUND(O26*M26,2)</f>
        <v>150.49</v>
      </c>
      <c r="S26" s="102">
        <f t="shared" ref="S26:S29" si="50">ROUND(P26*M26,2)</f>
        <v>168.66</v>
      </c>
      <c r="T26" s="410">
        <f t="shared" si="46"/>
        <v>0.25</v>
      </c>
      <c r="U26" s="408">
        <f t="shared" ref="U26:U29" si="51">ROUND(S26*(1+T26),2)</f>
        <v>210.83</v>
      </c>
      <c r="V26" s="171">
        <f>+S26/Resumo!$D$33</f>
        <v>4.049655509160623E-4</v>
      </c>
      <c r="W26" s="104"/>
      <c r="X26" s="120"/>
      <c r="Y26" s="358"/>
    </row>
    <row r="27" spans="1:26" s="72" customFormat="1" ht="30" x14ac:dyDescent="0.25">
      <c r="A27" s="524" t="s">
        <v>717</v>
      </c>
      <c r="B27" s="519" t="s">
        <v>94</v>
      </c>
      <c r="C27" s="519">
        <v>96372</v>
      </c>
      <c r="D27" s="520" t="s">
        <v>718</v>
      </c>
      <c r="E27" s="521" t="s">
        <v>61</v>
      </c>
      <c r="F27" s="690">
        <v>0</v>
      </c>
      <c r="G27" s="399"/>
      <c r="H27" s="691">
        <f t="shared" si="45"/>
        <v>0</v>
      </c>
      <c r="I27" s="399">
        <f t="shared" ref="I27:K27" si="52">I25</f>
        <v>158.08000000000001</v>
      </c>
      <c r="J27" s="399">
        <f t="shared" si="52"/>
        <v>54.57</v>
      </c>
      <c r="K27" s="399">
        <f t="shared" si="52"/>
        <v>0</v>
      </c>
      <c r="L27" s="588">
        <f t="shared" si="8"/>
        <v>212.65</v>
      </c>
      <c r="M27" s="530">
        <f>H27+L27</f>
        <v>212.65</v>
      </c>
      <c r="N27" s="102">
        <v>1.36</v>
      </c>
      <c r="O27" s="102">
        <v>36.479999999999997</v>
      </c>
      <c r="P27" s="102">
        <f t="shared" si="47"/>
        <v>37.840000000000003</v>
      </c>
      <c r="Q27" s="102">
        <f t="shared" si="48"/>
        <v>289.2</v>
      </c>
      <c r="R27" s="102">
        <f t="shared" si="49"/>
        <v>7757.47</v>
      </c>
      <c r="S27" s="102">
        <f t="shared" si="50"/>
        <v>8046.68</v>
      </c>
      <c r="T27" s="410">
        <f t="shared" si="46"/>
        <v>0.25</v>
      </c>
      <c r="U27" s="408">
        <f t="shared" si="51"/>
        <v>10058.35</v>
      </c>
      <c r="V27" s="171">
        <f>+S27/Resumo!$D$33</f>
        <v>1.9320693698833512E-2</v>
      </c>
      <c r="W27" s="104"/>
      <c r="X27" s="120"/>
      <c r="Y27" s="358"/>
    </row>
    <row r="28" spans="1:26" s="72" customFormat="1" x14ac:dyDescent="0.25">
      <c r="A28" s="524" t="s">
        <v>719</v>
      </c>
      <c r="B28" s="519" t="s">
        <v>115</v>
      </c>
      <c r="C28" s="519" t="str">
        <f>A28</f>
        <v>2.4.4</v>
      </c>
      <c r="D28" s="520" t="s">
        <v>883</v>
      </c>
      <c r="E28" s="521" t="s">
        <v>61</v>
      </c>
      <c r="F28" s="690">
        <v>0</v>
      </c>
      <c r="G28" s="399"/>
      <c r="H28" s="691">
        <f t="shared" si="45"/>
        <v>0</v>
      </c>
      <c r="I28" s="399">
        <v>0</v>
      </c>
      <c r="J28" s="399">
        <v>0</v>
      </c>
      <c r="K28" s="399">
        <v>4.87</v>
      </c>
      <c r="L28" s="588">
        <f t="shared" si="8"/>
        <v>4.87</v>
      </c>
      <c r="M28" s="530">
        <f>H28+L28</f>
        <v>4.87</v>
      </c>
      <c r="N28" s="102">
        <f>(ROUND(VLOOKUP(D28,Comp!$B$2:$M$23042,12,0),2))</f>
        <v>0</v>
      </c>
      <c r="O28" s="102">
        <f>ROUND(VLOOKUP(D28,Comp!$B$8:$M$23042,7,0),2)</f>
        <v>69.8</v>
      </c>
      <c r="P28" s="102">
        <f t="shared" si="47"/>
        <v>69.8</v>
      </c>
      <c r="Q28" s="102">
        <f t="shared" si="48"/>
        <v>0</v>
      </c>
      <c r="R28" s="102">
        <f t="shared" si="49"/>
        <v>339.93</v>
      </c>
      <c r="S28" s="102">
        <f t="shared" si="50"/>
        <v>339.93</v>
      </c>
      <c r="T28" s="410">
        <f t="shared" si="46"/>
        <v>0.25</v>
      </c>
      <c r="U28" s="408">
        <f t="shared" si="51"/>
        <v>424.91</v>
      </c>
      <c r="V28" s="171">
        <f>+S28/Resumo!$D$33</f>
        <v>8.1619791131801883E-4</v>
      </c>
      <c r="W28" s="104"/>
      <c r="X28" s="120"/>
      <c r="Y28" s="358"/>
    </row>
    <row r="29" spans="1:26" s="72" customFormat="1" ht="30" x14ac:dyDescent="0.25">
      <c r="A29" s="524" t="s">
        <v>869</v>
      </c>
      <c r="B29" s="519" t="s">
        <v>94</v>
      </c>
      <c r="C29" s="519">
        <v>87473</v>
      </c>
      <c r="D29" s="520" t="s">
        <v>870</v>
      </c>
      <c r="E29" s="521" t="s">
        <v>61</v>
      </c>
      <c r="F29" s="690">
        <v>1.83</v>
      </c>
      <c r="G29" s="399"/>
      <c r="H29" s="691">
        <f t="shared" si="45"/>
        <v>1.83</v>
      </c>
      <c r="I29" s="399">
        <v>0</v>
      </c>
      <c r="J29" s="399">
        <v>0</v>
      </c>
      <c r="K29" s="399">
        <v>0</v>
      </c>
      <c r="L29" s="588">
        <f t="shared" si="8"/>
        <v>0</v>
      </c>
      <c r="M29" s="530">
        <f>H29+L29</f>
        <v>1.83</v>
      </c>
      <c r="N29" s="102">
        <v>20.56</v>
      </c>
      <c r="O29" s="102">
        <v>47.16</v>
      </c>
      <c r="P29" s="102">
        <f t="shared" si="47"/>
        <v>67.72</v>
      </c>
      <c r="Q29" s="102">
        <f t="shared" si="48"/>
        <v>37.619999999999997</v>
      </c>
      <c r="R29" s="102">
        <f t="shared" si="49"/>
        <v>86.3</v>
      </c>
      <c r="S29" s="102">
        <f t="shared" si="50"/>
        <v>123.93</v>
      </c>
      <c r="T29" s="410">
        <f t="shared" si="46"/>
        <v>0.25</v>
      </c>
      <c r="U29" s="408">
        <f t="shared" si="51"/>
        <v>154.91</v>
      </c>
      <c r="V29" s="171">
        <f>+S29/Resumo!$D$33</f>
        <v>2.9756540214056446E-4</v>
      </c>
      <c r="W29" s="104"/>
      <c r="X29" s="120"/>
      <c r="Y29" s="358"/>
    </row>
    <row r="30" spans="1:26" s="34" customFormat="1" ht="15.75" x14ac:dyDescent="0.25">
      <c r="A30" s="339" t="s">
        <v>315</v>
      </c>
      <c r="B30" s="393"/>
      <c r="C30" s="393"/>
      <c r="D30" s="63" t="s">
        <v>392</v>
      </c>
      <c r="E30" s="132"/>
      <c r="F30" s="404"/>
      <c r="G30" s="404"/>
      <c r="H30" s="404"/>
      <c r="I30" s="404"/>
      <c r="J30" s="404"/>
      <c r="K30" s="404"/>
      <c r="L30" s="404"/>
      <c r="M30" s="45"/>
      <c r="N30" s="45"/>
      <c r="O30" s="45"/>
      <c r="P30" s="45"/>
      <c r="Q30" s="45">
        <f>Q31+Q33+Q38+Q44</f>
        <v>1809.35</v>
      </c>
      <c r="R30" s="45">
        <f>R31+R33+R38+R44</f>
        <v>43488.91</v>
      </c>
      <c r="S30" s="45">
        <f>S31+S33+S38+S44</f>
        <v>45298.26</v>
      </c>
      <c r="T30" s="45"/>
      <c r="U30" s="45">
        <f>U31+U33+U38+U44</f>
        <v>56622.840000000011</v>
      </c>
      <c r="V30" s="172">
        <f>+S30/Resumo!$D$33</f>
        <v>0.1087645844683922</v>
      </c>
      <c r="W30" s="104" t="s">
        <v>86</v>
      </c>
      <c r="X30" s="131"/>
      <c r="Y30" s="358"/>
    </row>
    <row r="31" spans="1:26" s="28" customFormat="1" x14ac:dyDescent="0.25">
      <c r="A31" s="106" t="s">
        <v>316</v>
      </c>
      <c r="B31" s="392"/>
      <c r="C31" s="392"/>
      <c r="D31" s="65" t="s">
        <v>399</v>
      </c>
      <c r="E31" s="134"/>
      <c r="F31" s="403"/>
      <c r="G31" s="403"/>
      <c r="H31" s="403"/>
      <c r="I31" s="403"/>
      <c r="J31" s="403"/>
      <c r="K31" s="403"/>
      <c r="L31" s="403"/>
      <c r="M31" s="46"/>
      <c r="N31" s="46"/>
      <c r="O31" s="46"/>
      <c r="P31" s="46"/>
      <c r="Q31" s="46">
        <f>SUM(Q32:Q32)</f>
        <v>0</v>
      </c>
      <c r="R31" s="46">
        <f>SUM(R32:R32)</f>
        <v>0</v>
      </c>
      <c r="S31" s="46">
        <f>SUM(S32:S32)</f>
        <v>0</v>
      </c>
      <c r="T31" s="46"/>
      <c r="U31" s="46">
        <f>SUM(U32:U32)</f>
        <v>0</v>
      </c>
      <c r="V31" s="173">
        <f>+S31/Resumo!$D$33</f>
        <v>0</v>
      </c>
      <c r="W31" s="104" t="s">
        <v>86</v>
      </c>
      <c r="X31" s="121"/>
      <c r="Y31" s="358"/>
    </row>
    <row r="32" spans="1:26" s="72" customFormat="1" x14ac:dyDescent="0.25">
      <c r="A32" s="517">
        <v>0</v>
      </c>
      <c r="B32" s="518">
        <v>0</v>
      </c>
      <c r="C32" s="518">
        <v>0</v>
      </c>
      <c r="D32" s="523" t="s">
        <v>124</v>
      </c>
      <c r="E32" s="521">
        <v>0</v>
      </c>
      <c r="F32" s="399"/>
      <c r="G32" s="399"/>
      <c r="H32" s="588"/>
      <c r="I32" s="399">
        <v>0</v>
      </c>
      <c r="J32" s="399">
        <v>0</v>
      </c>
      <c r="K32" s="399">
        <v>0</v>
      </c>
      <c r="L32" s="588">
        <f t="shared" ref="L32" si="53">SUM(I32:K32)</f>
        <v>0</v>
      </c>
      <c r="M32" s="530">
        <v>0</v>
      </c>
      <c r="N32" s="102">
        <v>0</v>
      </c>
      <c r="O32" s="102">
        <v>0</v>
      </c>
      <c r="P32" s="102">
        <f t="shared" ref="P32" si="54">+ROUND(N32+O32,2)</f>
        <v>0</v>
      </c>
      <c r="Q32" s="102">
        <f t="shared" ref="Q32" si="55">ROUND(N32*M32,2)</f>
        <v>0</v>
      </c>
      <c r="R32" s="102">
        <f t="shared" ref="R32" si="56">ROUND(O32*M32,2)</f>
        <v>0</v>
      </c>
      <c r="S32" s="102">
        <f t="shared" ref="S32" si="57">ROUND(P32*M32,2)</f>
        <v>0</v>
      </c>
      <c r="T32" s="410">
        <f t="shared" ref="T32" si="58">$M$6</f>
        <v>0.25</v>
      </c>
      <c r="U32" s="408">
        <f t="shared" ref="U32" si="59">ROUND(S32*(1+T32),2)</f>
        <v>0</v>
      </c>
      <c r="V32" s="171">
        <f>+S32/Resumo!$D$33</f>
        <v>0</v>
      </c>
      <c r="W32" s="104"/>
      <c r="X32" s="124"/>
      <c r="Y32" s="358"/>
      <c r="Z32" s="358"/>
    </row>
    <row r="33" spans="1:26" s="28" customFormat="1" x14ac:dyDescent="0.25">
      <c r="A33" s="106" t="s">
        <v>317</v>
      </c>
      <c r="B33" s="392"/>
      <c r="C33" s="392"/>
      <c r="D33" s="65" t="s">
        <v>733</v>
      </c>
      <c r="E33" s="134"/>
      <c r="F33" s="403"/>
      <c r="G33" s="403"/>
      <c r="H33" s="403"/>
      <c r="I33" s="403"/>
      <c r="J33" s="403"/>
      <c r="K33" s="403"/>
      <c r="L33" s="403"/>
      <c r="M33" s="46"/>
      <c r="N33" s="46"/>
      <c r="O33" s="46"/>
      <c r="P33" s="46"/>
      <c r="Q33" s="46">
        <f>SUM(Q34:Q37)</f>
        <v>1166.28</v>
      </c>
      <c r="R33" s="46">
        <f>SUM(R34:R37)</f>
        <v>9588.36</v>
      </c>
      <c r="S33" s="46">
        <f>SUM(S34:S37)</f>
        <v>10754.64</v>
      </c>
      <c r="T33" s="46"/>
      <c r="U33" s="46">
        <f>SUM(U34:U37)</f>
        <v>13443.310000000001</v>
      </c>
      <c r="V33" s="173">
        <f>+S33/Resumo!$D$33</f>
        <v>2.5822712631945452E-2</v>
      </c>
      <c r="W33" s="104" t="s">
        <v>86</v>
      </c>
      <c r="X33" s="124"/>
      <c r="Y33" s="358"/>
      <c r="Z33" s="358"/>
    </row>
    <row r="34" spans="1:26" s="72" customFormat="1" ht="60" x14ac:dyDescent="0.25">
      <c r="A34" s="524" t="s">
        <v>400</v>
      </c>
      <c r="B34" s="519" t="s">
        <v>115</v>
      </c>
      <c r="C34" s="519" t="str">
        <f>A34</f>
        <v>2.5.2.1</v>
      </c>
      <c r="D34" s="520" t="s">
        <v>734</v>
      </c>
      <c r="E34" s="525" t="s">
        <v>46</v>
      </c>
      <c r="F34" s="399"/>
      <c r="G34" s="399"/>
      <c r="H34" s="588"/>
      <c r="I34" s="399">
        <v>6</v>
      </c>
      <c r="J34" s="399">
        <v>0</v>
      </c>
      <c r="K34" s="399">
        <v>0</v>
      </c>
      <c r="L34" s="588">
        <f t="shared" ref="L34:L37" si="60">SUM(I34:K34)</f>
        <v>6</v>
      </c>
      <c r="M34" s="530">
        <f>H34+L34</f>
        <v>6</v>
      </c>
      <c r="N34" s="102">
        <f>(ROUND(VLOOKUP(D34,Comp!$B$2:$M$23042,12,0),2))</f>
        <v>141.36000000000001</v>
      </c>
      <c r="O34" s="102">
        <f>ROUND(VLOOKUP(D34,Comp!$B$8:$M$23042,7,0),2)</f>
        <v>1316.01</v>
      </c>
      <c r="P34" s="102">
        <f t="shared" ref="P34:P35" si="61">+ROUND(N34+O34,2)</f>
        <v>1457.37</v>
      </c>
      <c r="Q34" s="102">
        <f t="shared" ref="Q34:Q35" si="62">ROUND(N34*M34,2)</f>
        <v>848.16</v>
      </c>
      <c r="R34" s="102">
        <f t="shared" ref="R34:R35" si="63">ROUND(O34*M34,2)</f>
        <v>7896.06</v>
      </c>
      <c r="S34" s="102">
        <f t="shared" ref="S34:S35" si="64">ROUND(P34*M34,2)</f>
        <v>8744.2199999999993</v>
      </c>
      <c r="T34" s="410">
        <f t="shared" ref="T34:T37" si="65">$M$6</f>
        <v>0.25</v>
      </c>
      <c r="U34" s="408">
        <f t="shared" ref="U34:U35" si="66">ROUND(S34*(1+T34),2)</f>
        <v>10930.28</v>
      </c>
      <c r="V34" s="171">
        <f>+S34/Resumo!$D$33</f>
        <v>2.0995540552776294E-2</v>
      </c>
      <c r="W34" s="104"/>
      <c r="X34" s="335"/>
      <c r="Y34" s="358"/>
      <c r="Z34" s="358"/>
    </row>
    <row r="35" spans="1:26" s="72" customFormat="1" ht="60" x14ac:dyDescent="0.25">
      <c r="A35" s="524" t="s">
        <v>401</v>
      </c>
      <c r="B35" s="519" t="s">
        <v>115</v>
      </c>
      <c r="C35" s="519" t="str">
        <f t="shared" ref="C35:C37" si="67">A35</f>
        <v>2.5.2.2</v>
      </c>
      <c r="D35" s="520" t="s">
        <v>888</v>
      </c>
      <c r="E35" s="525" t="s">
        <v>46</v>
      </c>
      <c r="F35" s="399"/>
      <c r="G35" s="399"/>
      <c r="H35" s="588"/>
      <c r="I35" s="399">
        <v>0</v>
      </c>
      <c r="J35" s="399">
        <v>0</v>
      </c>
      <c r="K35" s="399">
        <v>0</v>
      </c>
      <c r="L35" s="588">
        <f t="shared" si="60"/>
        <v>0</v>
      </c>
      <c r="M35" s="530">
        <f>H35+L35</f>
        <v>0</v>
      </c>
      <c r="N35" s="102">
        <f>(ROUND(VLOOKUP(D35,Comp!$B$2:$M$23042,12,0),2))</f>
        <v>141.36000000000001</v>
      </c>
      <c r="O35" s="102">
        <f>ROUND(VLOOKUP(D35,Comp!$B$8:$M$23042,7,0),2)</f>
        <v>1416.01</v>
      </c>
      <c r="P35" s="102">
        <f t="shared" si="61"/>
        <v>1557.37</v>
      </c>
      <c r="Q35" s="102">
        <f t="shared" si="62"/>
        <v>0</v>
      </c>
      <c r="R35" s="102">
        <f t="shared" si="63"/>
        <v>0</v>
      </c>
      <c r="S35" s="102">
        <f t="shared" si="64"/>
        <v>0</v>
      </c>
      <c r="T35" s="410">
        <f t="shared" si="65"/>
        <v>0.25</v>
      </c>
      <c r="U35" s="408">
        <f t="shared" si="66"/>
        <v>0</v>
      </c>
      <c r="V35" s="171">
        <f>+S35/Resumo!$D$33</f>
        <v>0</v>
      </c>
      <c r="W35" s="104"/>
      <c r="X35" s="335"/>
      <c r="Y35" s="358"/>
      <c r="Z35" s="358"/>
    </row>
    <row r="36" spans="1:26" s="72" customFormat="1" ht="60" x14ac:dyDescent="0.25">
      <c r="A36" s="524" t="s">
        <v>402</v>
      </c>
      <c r="B36" s="519" t="s">
        <v>115</v>
      </c>
      <c r="C36" s="519" t="str">
        <f t="shared" si="67"/>
        <v>2.5.2.3</v>
      </c>
      <c r="D36" s="520" t="s">
        <v>889</v>
      </c>
      <c r="E36" s="525" t="s">
        <v>46</v>
      </c>
      <c r="F36" s="399"/>
      <c r="G36" s="399"/>
      <c r="H36" s="588"/>
      <c r="I36" s="399">
        <v>0</v>
      </c>
      <c r="J36" s="399">
        <v>0</v>
      </c>
      <c r="K36" s="399">
        <v>0</v>
      </c>
      <c r="L36" s="588">
        <f t="shared" si="60"/>
        <v>0</v>
      </c>
      <c r="M36" s="530">
        <f>H36+L36</f>
        <v>0</v>
      </c>
      <c r="N36" s="102">
        <f>(ROUND(VLOOKUP(D36,Comp!$B$2:$M$23042,12,0),2))</f>
        <v>141.36000000000001</v>
      </c>
      <c r="O36" s="102">
        <f>ROUND(VLOOKUP(D36,Comp!$B$8:$M$23042,7,0),2)</f>
        <v>1385.01</v>
      </c>
      <c r="P36" s="102">
        <f t="shared" ref="P36:P37" si="68">+ROUND(N36+O36,2)</f>
        <v>1526.37</v>
      </c>
      <c r="Q36" s="102">
        <f t="shared" ref="Q36:Q37" si="69">ROUND(N36*M36,2)</f>
        <v>0</v>
      </c>
      <c r="R36" s="102">
        <f t="shared" ref="R36:R37" si="70">ROUND(O36*M36,2)</f>
        <v>0</v>
      </c>
      <c r="S36" s="102">
        <f t="shared" ref="S36:S37" si="71">ROUND(P36*M36,2)</f>
        <v>0</v>
      </c>
      <c r="T36" s="410">
        <f t="shared" si="65"/>
        <v>0.25</v>
      </c>
      <c r="U36" s="408">
        <f t="shared" ref="U36:U37" si="72">ROUND(S36*(1+T36),2)</f>
        <v>0</v>
      </c>
      <c r="V36" s="171">
        <f>+S36/Resumo!$D$33</f>
        <v>0</v>
      </c>
      <c r="W36" s="104"/>
      <c r="X36" s="335"/>
      <c r="Y36" s="358"/>
      <c r="Z36" s="358"/>
    </row>
    <row r="37" spans="1:26" s="72" customFormat="1" x14ac:dyDescent="0.25">
      <c r="A37" s="524" t="s">
        <v>403</v>
      </c>
      <c r="B37" s="519" t="s">
        <v>115</v>
      </c>
      <c r="C37" s="519" t="str">
        <f t="shared" si="67"/>
        <v>2.5.2.4</v>
      </c>
      <c r="D37" s="520" t="s">
        <v>893</v>
      </c>
      <c r="E37" s="525" t="s">
        <v>46</v>
      </c>
      <c r="F37" s="399"/>
      <c r="G37" s="399"/>
      <c r="H37" s="588"/>
      <c r="I37" s="399">
        <f t="shared" ref="I37:K37" si="73">I34+I35</f>
        <v>6</v>
      </c>
      <c r="J37" s="399">
        <f t="shared" si="73"/>
        <v>0</v>
      </c>
      <c r="K37" s="399">
        <f t="shared" si="73"/>
        <v>0</v>
      </c>
      <c r="L37" s="588">
        <f t="shared" si="60"/>
        <v>6</v>
      </c>
      <c r="M37" s="530">
        <f>H37+L37</f>
        <v>6</v>
      </c>
      <c r="N37" s="102">
        <f>(ROUND(VLOOKUP(D37,Comp!$B$2:$M$23042,12,0),2))</f>
        <v>53.02</v>
      </c>
      <c r="O37" s="102">
        <f>ROUND(VLOOKUP(D37,Comp!$B$8:$M$23042,7,0),2)</f>
        <v>282.05</v>
      </c>
      <c r="P37" s="102">
        <f t="shared" si="68"/>
        <v>335.07</v>
      </c>
      <c r="Q37" s="102">
        <f t="shared" si="69"/>
        <v>318.12</v>
      </c>
      <c r="R37" s="102">
        <f t="shared" si="70"/>
        <v>1692.3</v>
      </c>
      <c r="S37" s="102">
        <f t="shared" si="71"/>
        <v>2010.42</v>
      </c>
      <c r="T37" s="410">
        <f t="shared" si="65"/>
        <v>0.25</v>
      </c>
      <c r="U37" s="408">
        <f t="shared" si="72"/>
        <v>2513.0300000000002</v>
      </c>
      <c r="V37" s="171">
        <f>+S37/Resumo!$D$33</f>
        <v>4.8271720791691567E-3</v>
      </c>
      <c r="W37" s="104"/>
      <c r="X37" s="335"/>
      <c r="Y37" s="358"/>
      <c r="Z37" s="358"/>
    </row>
    <row r="38" spans="1:26" s="28" customFormat="1" x14ac:dyDescent="0.25">
      <c r="A38" s="106" t="s">
        <v>318</v>
      </c>
      <c r="B38" s="392"/>
      <c r="C38" s="392"/>
      <c r="D38" s="65" t="s">
        <v>747</v>
      </c>
      <c r="E38" s="134"/>
      <c r="F38" s="403"/>
      <c r="G38" s="403"/>
      <c r="H38" s="403"/>
      <c r="I38" s="403"/>
      <c r="J38" s="403"/>
      <c r="K38" s="403"/>
      <c r="L38" s="403"/>
      <c r="M38" s="46"/>
      <c r="N38" s="46"/>
      <c r="O38" s="46"/>
      <c r="P38" s="46"/>
      <c r="Q38" s="46">
        <f>SUM(Q39:Q43)</f>
        <v>643.07000000000005</v>
      </c>
      <c r="R38" s="46">
        <f>SUM(R39:R43)</f>
        <v>33900.550000000003</v>
      </c>
      <c r="S38" s="46">
        <f>SUM(S39:S43)</f>
        <v>34543.620000000003</v>
      </c>
      <c r="T38" s="46"/>
      <c r="U38" s="46">
        <f>SUM(U39:U43)</f>
        <v>43179.530000000006</v>
      </c>
      <c r="V38" s="173">
        <f>+S38/Resumo!$D$33</f>
        <v>8.2941871836446746E-2</v>
      </c>
      <c r="W38" s="104" t="s">
        <v>86</v>
      </c>
      <c r="X38" s="121"/>
      <c r="Y38" s="358"/>
    </row>
    <row r="39" spans="1:26" s="72" customFormat="1" ht="45" x14ac:dyDescent="0.25">
      <c r="A39" s="524" t="s">
        <v>404</v>
      </c>
      <c r="B39" s="518" t="s">
        <v>115</v>
      </c>
      <c r="C39" s="518" t="str">
        <f>A39</f>
        <v>2.5.3.1</v>
      </c>
      <c r="D39" s="520" t="s">
        <v>953</v>
      </c>
      <c r="E39" s="521" t="s">
        <v>61</v>
      </c>
      <c r="F39" s="399"/>
      <c r="G39" s="399"/>
      <c r="H39" s="588"/>
      <c r="I39" s="399">
        <f>4.85*2.6</f>
        <v>12.61</v>
      </c>
      <c r="J39" s="399">
        <f>3.6*2.6+2.75*2.6</f>
        <v>16.510000000000002</v>
      </c>
      <c r="K39" s="399">
        <v>0</v>
      </c>
      <c r="L39" s="588">
        <f t="shared" ref="L39:L43" si="74">SUM(I39:K39)</f>
        <v>29.12</v>
      </c>
      <c r="M39" s="530">
        <f>H39+L39</f>
        <v>29.12</v>
      </c>
      <c r="N39" s="102">
        <f>(ROUND(VLOOKUP(D39,Comp!$B$2:$M$23042,12,0),2))</f>
        <v>0</v>
      </c>
      <c r="O39" s="102">
        <f>ROUND(VLOOKUP(D39,Comp!$B$8:$M$23042,7,0),2)</f>
        <v>917.5</v>
      </c>
      <c r="P39" s="102">
        <f t="shared" ref="P39" si="75">+ROUND(N39+O39,2)</f>
        <v>917.5</v>
      </c>
      <c r="Q39" s="102">
        <f t="shared" ref="Q39" si="76">ROUND(N39*M39,2)</f>
        <v>0</v>
      </c>
      <c r="R39" s="102">
        <f t="shared" ref="R39" si="77">ROUND(O39*M39,2)</f>
        <v>26717.599999999999</v>
      </c>
      <c r="S39" s="102">
        <f t="shared" ref="S39" si="78">ROUND(P39*M39,2)</f>
        <v>26717.599999999999</v>
      </c>
      <c r="T39" s="410">
        <f t="shared" ref="T39:T43" si="79">$M$6</f>
        <v>0.25</v>
      </c>
      <c r="U39" s="408">
        <f t="shared" ref="U39" si="80">ROUND(S39*(1+T39),2)</f>
        <v>33397</v>
      </c>
      <c r="V39" s="171">
        <f>+S39/Resumo!$D$33</f>
        <v>6.4150999662960895E-2</v>
      </c>
      <c r="W39" s="104"/>
      <c r="X39" s="120"/>
      <c r="Y39" s="358"/>
    </row>
    <row r="40" spans="1:26" s="72" customFormat="1" x14ac:dyDescent="0.25">
      <c r="A40" s="524" t="s">
        <v>405</v>
      </c>
      <c r="B40" s="518" t="s">
        <v>115</v>
      </c>
      <c r="C40" s="518" t="str">
        <f>A40</f>
        <v>2.5.3.2</v>
      </c>
      <c r="D40" s="520" t="s">
        <v>890</v>
      </c>
      <c r="E40" s="521" t="s">
        <v>46</v>
      </c>
      <c r="F40" s="399"/>
      <c r="G40" s="399"/>
      <c r="H40" s="588"/>
      <c r="I40" s="399">
        <v>2</v>
      </c>
      <c r="J40" s="399">
        <v>4</v>
      </c>
      <c r="K40" s="399">
        <v>0</v>
      </c>
      <c r="L40" s="588">
        <f t="shared" si="74"/>
        <v>6</v>
      </c>
      <c r="M40" s="530">
        <f>H40+L40</f>
        <v>6</v>
      </c>
      <c r="N40" s="102">
        <f>(ROUND(VLOOKUP(D40,Comp!$B$2:$M$23042,12,0),2))</f>
        <v>66.319999999999993</v>
      </c>
      <c r="O40" s="102">
        <f>ROUND(VLOOKUP(D40,Comp!$B$8:$M$23042,7,0),2)</f>
        <v>849.2</v>
      </c>
      <c r="P40" s="102">
        <f t="shared" ref="P40:P42" si="81">+ROUND(N40+O40,2)</f>
        <v>915.52</v>
      </c>
      <c r="Q40" s="102">
        <f t="shared" ref="Q40:Q42" si="82">ROUND(N40*M40,2)</f>
        <v>397.92</v>
      </c>
      <c r="R40" s="102">
        <f t="shared" ref="R40:R42" si="83">ROUND(O40*M40,2)</f>
        <v>5095.2</v>
      </c>
      <c r="S40" s="102">
        <f t="shared" ref="S40:S42" si="84">ROUND(P40*M40,2)</f>
        <v>5493.12</v>
      </c>
      <c r="T40" s="410">
        <f t="shared" si="79"/>
        <v>0.25</v>
      </c>
      <c r="U40" s="408">
        <f t="shared" ref="U40:U42" si="85">ROUND(S40*(1+T40),2)</f>
        <v>6866.4</v>
      </c>
      <c r="V40" s="171">
        <f>+S40/Resumo!$D$33</f>
        <v>1.3189400966726194E-2</v>
      </c>
      <c r="W40" s="104"/>
      <c r="X40" s="120"/>
      <c r="Y40" s="358"/>
    </row>
    <row r="41" spans="1:26" s="72" customFormat="1" x14ac:dyDescent="0.25">
      <c r="A41" s="524" t="s">
        <v>731</v>
      </c>
      <c r="B41" s="519" t="s">
        <v>115</v>
      </c>
      <c r="C41" s="519" t="str">
        <f>A41</f>
        <v>2.5.3.3</v>
      </c>
      <c r="D41" s="520" t="s">
        <v>891</v>
      </c>
      <c r="E41" s="525" t="s">
        <v>46</v>
      </c>
      <c r="F41" s="399"/>
      <c r="G41" s="399"/>
      <c r="H41" s="588"/>
      <c r="I41" s="399">
        <v>1</v>
      </c>
      <c r="J41" s="399">
        <v>2</v>
      </c>
      <c r="K41" s="399">
        <v>0</v>
      </c>
      <c r="L41" s="588">
        <f t="shared" si="74"/>
        <v>3</v>
      </c>
      <c r="M41" s="530">
        <f>H41+L41</f>
        <v>3</v>
      </c>
      <c r="N41" s="102">
        <f>(ROUND(VLOOKUP(D41,Comp!$B$2:$M$23042,12,0),2))</f>
        <v>29.78</v>
      </c>
      <c r="O41" s="102">
        <f>ROUND(VLOOKUP(D41,Comp!$B$8:$M$23042,7,0),2)</f>
        <v>269</v>
      </c>
      <c r="P41" s="102">
        <f t="shared" si="81"/>
        <v>298.77999999999997</v>
      </c>
      <c r="Q41" s="102">
        <f t="shared" si="82"/>
        <v>89.34</v>
      </c>
      <c r="R41" s="102">
        <f t="shared" si="83"/>
        <v>807</v>
      </c>
      <c r="S41" s="102">
        <f t="shared" si="84"/>
        <v>896.34</v>
      </c>
      <c r="T41" s="410">
        <f t="shared" si="79"/>
        <v>0.25</v>
      </c>
      <c r="U41" s="408">
        <f t="shared" si="85"/>
        <v>1120.43</v>
      </c>
      <c r="V41" s="171">
        <f>+S41/Resumo!$D$33</f>
        <v>2.1521808485005529E-3</v>
      </c>
      <c r="W41" s="104"/>
      <c r="X41" s="335"/>
      <c r="Y41" s="358"/>
      <c r="Z41" s="358"/>
    </row>
    <row r="42" spans="1:26" s="72" customFormat="1" x14ac:dyDescent="0.25">
      <c r="A42" s="524" t="s">
        <v>732</v>
      </c>
      <c r="B42" s="518" t="s">
        <v>115</v>
      </c>
      <c r="C42" s="518" t="str">
        <f t="shared" ref="C42" si="86">A42</f>
        <v>2.5.3.4</v>
      </c>
      <c r="D42" s="520" t="s">
        <v>730</v>
      </c>
      <c r="E42" s="521" t="s">
        <v>61</v>
      </c>
      <c r="F42" s="399"/>
      <c r="G42" s="399"/>
      <c r="H42" s="588"/>
      <c r="I42" s="399">
        <f>(I34+I35)*0.2*1.2</f>
        <v>1.4400000000000002</v>
      </c>
      <c r="J42" s="399">
        <f>(J34+J35)*0.2*1.2</f>
        <v>0</v>
      </c>
      <c r="K42" s="399">
        <f>(K34+K35)*0.2*1.2</f>
        <v>0</v>
      </c>
      <c r="L42" s="588">
        <f t="shared" si="74"/>
        <v>1.4400000000000002</v>
      </c>
      <c r="M42" s="530">
        <f>H42+L42</f>
        <v>1.4400000000000002</v>
      </c>
      <c r="N42" s="102">
        <f>(ROUND(VLOOKUP(D42,Comp!$B$2:$M$23042,12,0),2))</f>
        <v>19.850000000000001</v>
      </c>
      <c r="O42" s="102">
        <f>ROUND(VLOOKUP(D42,Comp!$B$8:$M$23042,7,0),2)</f>
        <v>160.24</v>
      </c>
      <c r="P42" s="102">
        <f t="shared" si="81"/>
        <v>180.09</v>
      </c>
      <c r="Q42" s="102">
        <f t="shared" si="82"/>
        <v>28.58</v>
      </c>
      <c r="R42" s="102">
        <f t="shared" si="83"/>
        <v>230.75</v>
      </c>
      <c r="S42" s="102">
        <f t="shared" si="84"/>
        <v>259.33</v>
      </c>
      <c r="T42" s="410">
        <f t="shared" si="79"/>
        <v>0.25</v>
      </c>
      <c r="U42" s="408">
        <f t="shared" si="85"/>
        <v>324.16000000000003</v>
      </c>
      <c r="V42" s="171">
        <f>+S42/Resumo!$D$33</f>
        <v>6.2267115094902421E-4</v>
      </c>
      <c r="W42" s="104"/>
      <c r="X42" s="120"/>
      <c r="Y42" s="358"/>
    </row>
    <row r="43" spans="1:26" s="72" customFormat="1" ht="45" x14ac:dyDescent="0.25">
      <c r="A43" s="524" t="s">
        <v>741</v>
      </c>
      <c r="B43" s="518" t="s">
        <v>115</v>
      </c>
      <c r="C43" s="518" t="str">
        <f t="shared" ref="C43" si="87">A43</f>
        <v>2.5.3.5</v>
      </c>
      <c r="D43" s="520" t="s">
        <v>746</v>
      </c>
      <c r="E43" s="521" t="s">
        <v>46</v>
      </c>
      <c r="F43" s="399"/>
      <c r="G43" s="399"/>
      <c r="H43" s="588"/>
      <c r="I43" s="399">
        <v>1</v>
      </c>
      <c r="J43" s="399">
        <v>2</v>
      </c>
      <c r="K43" s="399">
        <f>K41</f>
        <v>0</v>
      </c>
      <c r="L43" s="588">
        <f t="shared" si="74"/>
        <v>3</v>
      </c>
      <c r="M43" s="530">
        <f>H43+L43</f>
        <v>3</v>
      </c>
      <c r="N43" s="102">
        <f>(ROUND(VLOOKUP(D43,Comp!$B$2:$M$23042,12,0),2))</f>
        <v>42.41</v>
      </c>
      <c r="O43" s="102">
        <f>ROUND(VLOOKUP(D43,Comp!$B$8:$M$23042,7,0),2)</f>
        <v>350</v>
      </c>
      <c r="P43" s="102">
        <f t="shared" ref="P43" si="88">+ROUND(N43+O43,2)</f>
        <v>392.41</v>
      </c>
      <c r="Q43" s="102">
        <f t="shared" ref="Q43" si="89">ROUND(N43*M43,2)</f>
        <v>127.23</v>
      </c>
      <c r="R43" s="102">
        <f t="shared" ref="R43" si="90">ROUND(O43*M43,2)</f>
        <v>1050</v>
      </c>
      <c r="S43" s="102">
        <f t="shared" ref="S43" si="91">ROUND(P43*M43,2)</f>
        <v>1177.23</v>
      </c>
      <c r="T43" s="410">
        <f t="shared" si="79"/>
        <v>0.25</v>
      </c>
      <c r="U43" s="408">
        <f t="shared" ref="U43" si="92">ROUND(S43*(1+T43),2)</f>
        <v>1471.54</v>
      </c>
      <c r="V43" s="171">
        <f>+S43/Resumo!$D$33</f>
        <v>2.8266192073100678E-3</v>
      </c>
      <c r="W43" s="104"/>
      <c r="X43" s="120"/>
      <c r="Y43" s="358"/>
    </row>
    <row r="44" spans="1:26" s="28" customFormat="1" x14ac:dyDescent="0.25">
      <c r="A44" s="106" t="s">
        <v>406</v>
      </c>
      <c r="B44" s="392"/>
      <c r="C44" s="392"/>
      <c r="D44" s="65" t="s">
        <v>122</v>
      </c>
      <c r="E44" s="134"/>
      <c r="F44" s="403"/>
      <c r="G44" s="403"/>
      <c r="H44" s="403"/>
      <c r="I44" s="403"/>
      <c r="J44" s="403"/>
      <c r="K44" s="403"/>
      <c r="L44" s="403"/>
      <c r="M44" s="46"/>
      <c r="N44" s="46"/>
      <c r="O44" s="46"/>
      <c r="P44" s="46"/>
      <c r="Q44" s="46">
        <f>SUM(Q45:Q45)</f>
        <v>0</v>
      </c>
      <c r="R44" s="46">
        <f>SUM(R45:R45)</f>
        <v>0</v>
      </c>
      <c r="S44" s="46">
        <f>SUM(S45:S45)</f>
        <v>0</v>
      </c>
      <c r="T44" s="46"/>
      <c r="U44" s="46">
        <f>SUM(U45:U45)</f>
        <v>0</v>
      </c>
      <c r="V44" s="173">
        <f>+S44/Resumo!$D$33</f>
        <v>0</v>
      </c>
      <c r="W44" s="104" t="s">
        <v>86</v>
      </c>
      <c r="X44" s="121"/>
      <c r="Y44" s="358"/>
    </row>
    <row r="45" spans="1:26" s="72" customFormat="1" x14ac:dyDescent="0.25">
      <c r="A45" s="517">
        <v>0</v>
      </c>
      <c r="B45" s="518">
        <v>0</v>
      </c>
      <c r="C45" s="518">
        <v>0</v>
      </c>
      <c r="D45" s="523" t="s">
        <v>124</v>
      </c>
      <c r="E45" s="521">
        <v>0</v>
      </c>
      <c r="F45" s="399"/>
      <c r="G45" s="399"/>
      <c r="H45" s="588"/>
      <c r="I45" s="399">
        <v>0</v>
      </c>
      <c r="J45" s="399">
        <v>0</v>
      </c>
      <c r="K45" s="399">
        <v>0</v>
      </c>
      <c r="L45" s="588">
        <f t="shared" ref="L45" si="93">SUM(I45:K45)</f>
        <v>0</v>
      </c>
      <c r="M45" s="530">
        <v>0</v>
      </c>
      <c r="N45" s="102">
        <v>0</v>
      </c>
      <c r="O45" s="102">
        <v>0</v>
      </c>
      <c r="P45" s="102">
        <f t="shared" ref="P45" si="94">+ROUND(N45+O45,2)</f>
        <v>0</v>
      </c>
      <c r="Q45" s="102">
        <f t="shared" ref="Q45" si="95">ROUND(N45*M45,2)</f>
        <v>0</v>
      </c>
      <c r="R45" s="102">
        <f t="shared" ref="R45" si="96">ROUND(O45*M45,2)</f>
        <v>0</v>
      </c>
      <c r="S45" s="102">
        <f t="shared" ref="S45" si="97">ROUND(P45*M45,2)</f>
        <v>0</v>
      </c>
      <c r="T45" s="410">
        <f t="shared" ref="T45" si="98">$M$6</f>
        <v>0.25</v>
      </c>
      <c r="U45" s="408">
        <f t="shared" ref="U45" si="99">ROUND(S45*(1+T45),2)</f>
        <v>0</v>
      </c>
      <c r="V45" s="171">
        <f>+S45/Resumo!$D$33</f>
        <v>0</v>
      </c>
      <c r="W45" s="104"/>
      <c r="X45" s="120"/>
      <c r="Y45" s="358"/>
    </row>
    <row r="46" spans="1:26" s="34" customFormat="1" ht="15.75" x14ac:dyDescent="0.25">
      <c r="A46" s="339" t="s">
        <v>319</v>
      </c>
      <c r="B46" s="393"/>
      <c r="C46" s="393"/>
      <c r="D46" s="63" t="s">
        <v>39</v>
      </c>
      <c r="E46" s="132"/>
      <c r="F46" s="404"/>
      <c r="G46" s="404"/>
      <c r="H46" s="404"/>
      <c r="I46" s="404"/>
      <c r="J46" s="404"/>
      <c r="K46" s="404"/>
      <c r="L46" s="404"/>
      <c r="M46" s="45"/>
      <c r="N46" s="45"/>
      <c r="O46" s="45"/>
      <c r="P46" s="45"/>
      <c r="Q46" s="45">
        <f>Q47+Q49</f>
        <v>0</v>
      </c>
      <c r="R46" s="45">
        <f t="shared" ref="R46:U46" si="100">R47+R49</f>
        <v>0</v>
      </c>
      <c r="S46" s="45">
        <f t="shared" si="100"/>
        <v>0</v>
      </c>
      <c r="T46" s="45"/>
      <c r="U46" s="45">
        <f t="shared" si="100"/>
        <v>0</v>
      </c>
      <c r="V46" s="172">
        <f>+S46/Resumo!$D$33</f>
        <v>0</v>
      </c>
      <c r="W46" s="104" t="s">
        <v>86</v>
      </c>
      <c r="X46" s="123"/>
      <c r="Y46" s="358"/>
    </row>
    <row r="47" spans="1:26" s="28" customFormat="1" x14ac:dyDescent="0.25">
      <c r="A47" s="106" t="s">
        <v>321</v>
      </c>
      <c r="B47" s="392"/>
      <c r="C47" s="392"/>
      <c r="D47" s="65" t="s">
        <v>388</v>
      </c>
      <c r="E47" s="134"/>
      <c r="F47" s="403"/>
      <c r="G47" s="403"/>
      <c r="H47" s="403"/>
      <c r="I47" s="403"/>
      <c r="J47" s="403"/>
      <c r="K47" s="403"/>
      <c r="L47" s="403"/>
      <c r="M47" s="46"/>
      <c r="N47" s="46"/>
      <c r="O47" s="46"/>
      <c r="P47" s="46"/>
      <c r="Q47" s="46">
        <f>SUM(Q48:Q48)</f>
        <v>0</v>
      </c>
      <c r="R47" s="46">
        <f>SUM(R48:R48)</f>
        <v>0</v>
      </c>
      <c r="S47" s="46">
        <f>SUM(S48:S48)</f>
        <v>0</v>
      </c>
      <c r="T47" s="46"/>
      <c r="U47" s="46">
        <f>SUM(U48:U48)</f>
        <v>0</v>
      </c>
      <c r="V47" s="173">
        <f>+S47/Resumo!$D$33</f>
        <v>0</v>
      </c>
      <c r="W47" s="104" t="s">
        <v>86</v>
      </c>
      <c r="X47" s="332"/>
      <c r="Y47" s="358"/>
    </row>
    <row r="48" spans="1:26" s="72" customFormat="1" x14ac:dyDescent="0.25">
      <c r="A48" s="517">
        <v>0</v>
      </c>
      <c r="B48" s="518">
        <v>0</v>
      </c>
      <c r="C48" s="518">
        <v>0</v>
      </c>
      <c r="D48" s="523" t="s">
        <v>124</v>
      </c>
      <c r="E48" s="521">
        <v>0</v>
      </c>
      <c r="F48" s="399"/>
      <c r="G48" s="399"/>
      <c r="H48" s="588"/>
      <c r="I48" s="399">
        <v>0</v>
      </c>
      <c r="J48" s="399">
        <v>0</v>
      </c>
      <c r="K48" s="399">
        <v>0</v>
      </c>
      <c r="L48" s="588">
        <f t="shared" ref="L48" si="101">SUM(I48:K48)</f>
        <v>0</v>
      </c>
      <c r="M48" s="530">
        <v>0</v>
      </c>
      <c r="N48" s="102">
        <v>0</v>
      </c>
      <c r="O48" s="102">
        <v>0</v>
      </c>
      <c r="P48" s="102">
        <f t="shared" ref="P48" si="102">+ROUND(N48+O48,2)</f>
        <v>0</v>
      </c>
      <c r="Q48" s="102">
        <f t="shared" ref="Q48" si="103">ROUND(N48*M48,2)</f>
        <v>0</v>
      </c>
      <c r="R48" s="102">
        <f t="shared" ref="R48" si="104">ROUND(O48*M48,2)</f>
        <v>0</v>
      </c>
      <c r="S48" s="102">
        <f t="shared" ref="S48" si="105">ROUND(P48*M48,2)</f>
        <v>0</v>
      </c>
      <c r="T48" s="410">
        <f t="shared" ref="T48" si="106">$M$6</f>
        <v>0.25</v>
      </c>
      <c r="U48" s="408">
        <f t="shared" ref="U48" si="107">ROUND(S48*(1+T48),2)</f>
        <v>0</v>
      </c>
      <c r="V48" s="171">
        <f>+S48/Resumo!$D$33</f>
        <v>0</v>
      </c>
      <c r="W48" s="104"/>
      <c r="X48" s="124"/>
      <c r="Y48" s="358"/>
    </row>
    <row r="49" spans="1:25" s="28" customFormat="1" x14ac:dyDescent="0.25">
      <c r="A49" s="106" t="s">
        <v>322</v>
      </c>
      <c r="B49" s="392"/>
      <c r="C49" s="392"/>
      <c r="D49" s="65" t="s">
        <v>389</v>
      </c>
      <c r="E49" s="134"/>
      <c r="F49" s="403"/>
      <c r="G49" s="403"/>
      <c r="H49" s="403"/>
      <c r="I49" s="403"/>
      <c r="J49" s="403"/>
      <c r="K49" s="403"/>
      <c r="L49" s="403"/>
      <c r="M49" s="46"/>
      <c r="N49" s="46"/>
      <c r="O49" s="46"/>
      <c r="P49" s="46"/>
      <c r="Q49" s="46">
        <f>SUM(Q50:Q50)</f>
        <v>0</v>
      </c>
      <c r="R49" s="46">
        <f>SUM(R50:R50)</f>
        <v>0</v>
      </c>
      <c r="S49" s="46">
        <f>SUM(S50:S50)</f>
        <v>0</v>
      </c>
      <c r="T49" s="46"/>
      <c r="U49" s="46">
        <f>SUM(U50:U50)</f>
        <v>0</v>
      </c>
      <c r="V49" s="173">
        <f>+S49/Resumo!$D$33</f>
        <v>0</v>
      </c>
      <c r="W49" s="104" t="s">
        <v>86</v>
      </c>
      <c r="X49" s="332"/>
      <c r="Y49" s="358"/>
    </row>
    <row r="50" spans="1:25" s="72" customFormat="1" x14ac:dyDescent="0.25">
      <c r="A50" s="517">
        <v>0</v>
      </c>
      <c r="B50" s="518">
        <v>0</v>
      </c>
      <c r="C50" s="518">
        <v>0</v>
      </c>
      <c r="D50" s="523" t="s">
        <v>124</v>
      </c>
      <c r="E50" s="521">
        <v>0</v>
      </c>
      <c r="F50" s="399"/>
      <c r="G50" s="399"/>
      <c r="H50" s="588"/>
      <c r="I50" s="399">
        <v>0</v>
      </c>
      <c r="J50" s="399">
        <v>0</v>
      </c>
      <c r="K50" s="399">
        <v>0</v>
      </c>
      <c r="L50" s="588">
        <f t="shared" ref="L50" si="108">SUM(I50:K50)</f>
        <v>0</v>
      </c>
      <c r="M50" s="530">
        <v>0</v>
      </c>
      <c r="N50" s="102">
        <v>0</v>
      </c>
      <c r="O50" s="102">
        <v>0</v>
      </c>
      <c r="P50" s="102">
        <f t="shared" ref="P50" si="109">+ROUND(N50+O50,2)</f>
        <v>0</v>
      </c>
      <c r="Q50" s="102">
        <f t="shared" ref="Q50" si="110">ROUND(N50*M50,2)</f>
        <v>0</v>
      </c>
      <c r="R50" s="102">
        <f t="shared" ref="R50" si="111">ROUND(O50*M50,2)</f>
        <v>0</v>
      </c>
      <c r="S50" s="102">
        <f t="shared" ref="S50" si="112">ROUND(P50*M50,2)</f>
        <v>0</v>
      </c>
      <c r="T50" s="410">
        <f t="shared" ref="T50" si="113">$M$6</f>
        <v>0.25</v>
      </c>
      <c r="U50" s="408">
        <f t="shared" ref="U50" si="114">ROUND(S50*(1+T50),2)</f>
        <v>0</v>
      </c>
      <c r="V50" s="171">
        <f>+S50/Resumo!$D$33</f>
        <v>0</v>
      </c>
      <c r="W50" s="104"/>
      <c r="X50" s="124"/>
      <c r="Y50" s="358"/>
    </row>
    <row r="51" spans="1:25" s="34" customFormat="1" ht="15.75" x14ac:dyDescent="0.25">
      <c r="A51" s="339" t="s">
        <v>320</v>
      </c>
      <c r="B51" s="393"/>
      <c r="C51" s="393"/>
      <c r="D51" s="63" t="s">
        <v>393</v>
      </c>
      <c r="E51" s="132"/>
      <c r="F51" s="404"/>
      <c r="G51" s="404"/>
      <c r="H51" s="404"/>
      <c r="I51" s="404"/>
      <c r="J51" s="404"/>
      <c r="K51" s="404"/>
      <c r="L51" s="404"/>
      <c r="M51" s="45"/>
      <c r="N51" s="45"/>
      <c r="O51" s="45"/>
      <c r="P51" s="45"/>
      <c r="Q51" s="45">
        <f>Q52+Q56+Q59+Q61+Q65+Q69</f>
        <v>8483.7000000000007</v>
      </c>
      <c r="R51" s="45">
        <f>R52+R56+R59+R61+R65+R69</f>
        <v>18461.14</v>
      </c>
      <c r="S51" s="45">
        <f>S52+S56+S59+S61+S65+S69</f>
        <v>26944.83</v>
      </c>
      <c r="T51" s="45"/>
      <c r="U51" s="45">
        <f>U52+U56+U59+U61+U65+U69</f>
        <v>33681.050000000003</v>
      </c>
      <c r="V51" s="172">
        <f>+S51/Resumo!$D$33</f>
        <v>6.469659626046273E-2</v>
      </c>
      <c r="W51" s="104" t="s">
        <v>86</v>
      </c>
      <c r="X51" s="123"/>
      <c r="Y51" s="358"/>
    </row>
    <row r="52" spans="1:25" s="28" customFormat="1" x14ac:dyDescent="0.25">
      <c r="A52" s="106" t="s">
        <v>323</v>
      </c>
      <c r="B52" s="392"/>
      <c r="C52" s="392"/>
      <c r="D52" s="65" t="s">
        <v>92</v>
      </c>
      <c r="E52" s="134"/>
      <c r="F52" s="403"/>
      <c r="G52" s="403"/>
      <c r="H52" s="403"/>
      <c r="I52" s="403"/>
      <c r="J52" s="403"/>
      <c r="K52" s="403"/>
      <c r="L52" s="403"/>
      <c r="M52" s="46"/>
      <c r="N52" s="46"/>
      <c r="O52" s="46"/>
      <c r="P52" s="46"/>
      <c r="Q52" s="46">
        <f>SUM(Q53:Q55)</f>
        <v>31</v>
      </c>
      <c r="R52" s="46">
        <f t="shared" ref="R52:U52" si="115">SUM(R53:R55)</f>
        <v>39.22</v>
      </c>
      <c r="S52" s="46">
        <f t="shared" si="115"/>
        <v>70.210000000000008</v>
      </c>
      <c r="T52" s="46"/>
      <c r="U52" s="46">
        <f t="shared" si="115"/>
        <v>87.76</v>
      </c>
      <c r="V52" s="173">
        <f>+S52/Resumo!$D$33</f>
        <v>1.6857957624698646E-4</v>
      </c>
      <c r="W52" s="104" t="s">
        <v>86</v>
      </c>
      <c r="X52" s="125"/>
      <c r="Y52" s="358"/>
    </row>
    <row r="53" spans="1:25" s="72" customFormat="1" ht="30" x14ac:dyDescent="0.25">
      <c r="A53" s="524" t="s">
        <v>337</v>
      </c>
      <c r="B53" s="519" t="s">
        <v>115</v>
      </c>
      <c r="C53" s="519" t="str">
        <f>A53</f>
        <v>2.7.1.1</v>
      </c>
      <c r="D53" s="520" t="s">
        <v>728</v>
      </c>
      <c r="E53" s="525" t="s">
        <v>61</v>
      </c>
      <c r="F53" s="690">
        <v>0</v>
      </c>
      <c r="G53" s="399"/>
      <c r="H53" s="691">
        <f t="shared" ref="H53:H55" si="116">SUM(F53:G53)</f>
        <v>0</v>
      </c>
      <c r="I53" s="399">
        <v>0</v>
      </c>
      <c r="J53" s="399">
        <v>0</v>
      </c>
      <c r="K53" s="399">
        <v>0</v>
      </c>
      <c r="L53" s="588">
        <f t="shared" ref="L53:L55" si="117">SUM(I53:K53)</f>
        <v>0</v>
      </c>
      <c r="M53" s="530">
        <f>H53+L53</f>
        <v>0</v>
      </c>
      <c r="N53" s="102">
        <f>(ROUND(VLOOKUP(D53,Comp!$B$2:$M$23042,12,0),2))</f>
        <v>24.11</v>
      </c>
      <c r="O53" s="102">
        <f>ROUND(VLOOKUP(D53,Comp!$B$8:$M$23042,7,0),2)</f>
        <v>65.540000000000006</v>
      </c>
      <c r="P53" s="102">
        <f t="shared" ref="P53" si="118">+ROUND(N53+O53,2)</f>
        <v>89.65</v>
      </c>
      <c r="Q53" s="102">
        <f t="shared" ref="Q53" si="119">ROUND(N53*M53,2)</f>
        <v>0</v>
      </c>
      <c r="R53" s="102">
        <f t="shared" ref="R53" si="120">ROUND(O53*M53,2)</f>
        <v>0</v>
      </c>
      <c r="S53" s="102">
        <f t="shared" ref="S53" si="121">ROUND(P53*M53,2)</f>
        <v>0</v>
      </c>
      <c r="T53" s="410">
        <f t="shared" ref="T53:T55" si="122">$M$6</f>
        <v>0.25</v>
      </c>
      <c r="U53" s="408">
        <f t="shared" ref="U53" si="123">ROUND(S53*(1+T53),2)</f>
        <v>0</v>
      </c>
      <c r="V53" s="171">
        <f>+S53/Resumo!$D$33</f>
        <v>0</v>
      </c>
      <c r="W53" s="104"/>
      <c r="X53" s="120"/>
      <c r="Y53" s="358"/>
    </row>
    <row r="54" spans="1:25" s="72" customFormat="1" ht="45" x14ac:dyDescent="0.25">
      <c r="A54" s="524" t="s">
        <v>871</v>
      </c>
      <c r="B54" s="519" t="s">
        <v>94</v>
      </c>
      <c r="C54" s="519">
        <v>87871</v>
      </c>
      <c r="D54" s="520" t="s">
        <v>873</v>
      </c>
      <c r="E54" s="525" t="s">
        <v>61</v>
      </c>
      <c r="F54" s="690">
        <v>1.68</v>
      </c>
      <c r="G54" s="399"/>
      <c r="H54" s="691">
        <f t="shared" si="116"/>
        <v>1.68</v>
      </c>
      <c r="I54" s="399">
        <v>0</v>
      </c>
      <c r="J54" s="399">
        <v>0</v>
      </c>
      <c r="K54" s="399">
        <v>0</v>
      </c>
      <c r="L54" s="588">
        <f t="shared" si="117"/>
        <v>0</v>
      </c>
      <c r="M54" s="530">
        <f>H54+L54</f>
        <v>1.68</v>
      </c>
      <c r="N54" s="102">
        <v>3.14</v>
      </c>
      <c r="O54" s="102">
        <v>7.39</v>
      </c>
      <c r="P54" s="102">
        <f t="shared" ref="P54:P55" si="124">+ROUND(N54+O54,2)</f>
        <v>10.53</v>
      </c>
      <c r="Q54" s="102">
        <f t="shared" ref="Q54:Q55" si="125">ROUND(N54*M54,2)</f>
        <v>5.28</v>
      </c>
      <c r="R54" s="102">
        <f t="shared" ref="R54:R55" si="126">ROUND(O54*M54,2)</f>
        <v>12.42</v>
      </c>
      <c r="S54" s="102">
        <f t="shared" ref="S54:S55" si="127">ROUND(P54*M54,2)</f>
        <v>17.690000000000001</v>
      </c>
      <c r="T54" s="410">
        <f t="shared" si="122"/>
        <v>0.25</v>
      </c>
      <c r="U54" s="408">
        <f t="shared" ref="U54:U55" si="128">ROUND(S54*(1+T54),2)</f>
        <v>22.11</v>
      </c>
      <c r="V54" s="171">
        <f>+S54/Resumo!$D$33</f>
        <v>4.2475042071060966E-5</v>
      </c>
      <c r="W54" s="104"/>
      <c r="X54" s="120"/>
      <c r="Y54" s="358"/>
    </row>
    <row r="55" spans="1:25" s="72" customFormat="1" ht="45" x14ac:dyDescent="0.25">
      <c r="A55" s="524" t="s">
        <v>872</v>
      </c>
      <c r="B55" s="519" t="s">
        <v>94</v>
      </c>
      <c r="C55" s="519">
        <v>87530</v>
      </c>
      <c r="D55" s="520" t="s">
        <v>874</v>
      </c>
      <c r="E55" s="525" t="s">
        <v>61</v>
      </c>
      <c r="F55" s="690">
        <v>1.68</v>
      </c>
      <c r="G55" s="399"/>
      <c r="H55" s="691">
        <f t="shared" si="116"/>
        <v>1.68</v>
      </c>
      <c r="I55" s="399">
        <v>0</v>
      </c>
      <c r="J55" s="399">
        <v>0</v>
      </c>
      <c r="K55" s="399">
        <v>0</v>
      </c>
      <c r="L55" s="588">
        <f t="shared" si="117"/>
        <v>0</v>
      </c>
      <c r="M55" s="530">
        <f>H55+L55</f>
        <v>1.68</v>
      </c>
      <c r="N55" s="102">
        <v>15.31</v>
      </c>
      <c r="O55" s="102">
        <v>15.95</v>
      </c>
      <c r="P55" s="102">
        <f t="shared" si="124"/>
        <v>31.26</v>
      </c>
      <c r="Q55" s="102">
        <f t="shared" si="125"/>
        <v>25.72</v>
      </c>
      <c r="R55" s="102">
        <f t="shared" si="126"/>
        <v>26.8</v>
      </c>
      <c r="S55" s="102">
        <f t="shared" si="127"/>
        <v>52.52</v>
      </c>
      <c r="T55" s="410">
        <f t="shared" si="122"/>
        <v>0.25</v>
      </c>
      <c r="U55" s="408">
        <f t="shared" si="128"/>
        <v>65.650000000000006</v>
      </c>
      <c r="V55" s="171">
        <f>+S55/Resumo!$D$33</f>
        <v>1.2610453417592548E-4</v>
      </c>
      <c r="W55" s="104"/>
      <c r="X55" s="120"/>
      <c r="Y55" s="358"/>
    </row>
    <row r="56" spans="1:25" s="28" customFormat="1" x14ac:dyDescent="0.25">
      <c r="A56" s="106" t="s">
        <v>324</v>
      </c>
      <c r="B56" s="392"/>
      <c r="C56" s="392"/>
      <c r="D56" s="65" t="s">
        <v>93</v>
      </c>
      <c r="E56" s="134"/>
      <c r="F56" s="692"/>
      <c r="G56" s="403"/>
      <c r="H56" s="692"/>
      <c r="I56" s="403"/>
      <c r="J56" s="403"/>
      <c r="K56" s="403"/>
      <c r="L56" s="403"/>
      <c r="M56" s="46"/>
      <c r="N56" s="46"/>
      <c r="O56" s="46"/>
      <c r="P56" s="46"/>
      <c r="Q56" s="46">
        <f>SUM(Q57:Q58)</f>
        <v>1746.94</v>
      </c>
      <c r="R56" s="46">
        <f t="shared" ref="R56:U56" si="129">SUM(R57:R58)</f>
        <v>9094.67</v>
      </c>
      <c r="S56" s="46">
        <f t="shared" si="129"/>
        <v>10841.61</v>
      </c>
      <c r="T56" s="46"/>
      <c r="U56" s="46">
        <f t="shared" si="129"/>
        <v>13552.02</v>
      </c>
      <c r="V56" s="173">
        <f>+S56/Resumo!$D$33</f>
        <v>2.6031534249182323E-2</v>
      </c>
      <c r="W56" s="104" t="s">
        <v>86</v>
      </c>
      <c r="X56" s="332"/>
      <c r="Y56" s="358"/>
    </row>
    <row r="57" spans="1:25" s="72" customFormat="1" ht="30" x14ac:dyDescent="0.25">
      <c r="A57" s="524" t="s">
        <v>338</v>
      </c>
      <c r="B57" s="519" t="s">
        <v>94</v>
      </c>
      <c r="C57" s="519">
        <v>96114</v>
      </c>
      <c r="D57" s="520" t="s">
        <v>407</v>
      </c>
      <c r="E57" s="525" t="s">
        <v>61</v>
      </c>
      <c r="F57" s="690">
        <v>10.71</v>
      </c>
      <c r="G57" s="399"/>
      <c r="H57" s="691">
        <f t="shared" ref="H57:H58" si="130">SUM(F57:G57)</f>
        <v>10.71</v>
      </c>
      <c r="I57" s="399">
        <v>101.9</v>
      </c>
      <c r="J57" s="399">
        <v>29.2</v>
      </c>
      <c r="K57" s="399">
        <v>0</v>
      </c>
      <c r="L57" s="588">
        <f t="shared" ref="L57:L58" si="131">SUM(I57:K57)</f>
        <v>131.1</v>
      </c>
      <c r="M57" s="530">
        <f>H57+L57</f>
        <v>141.81</v>
      </c>
      <c r="N57" s="102">
        <v>10.85</v>
      </c>
      <c r="O57" s="102">
        <v>56.17</v>
      </c>
      <c r="P57" s="102">
        <f t="shared" ref="P57" si="132">+ROUND(N57+O57,2)</f>
        <v>67.02</v>
      </c>
      <c r="Q57" s="102">
        <f t="shared" ref="Q57" si="133">ROUND(N57*M57,2)</f>
        <v>1538.64</v>
      </c>
      <c r="R57" s="102">
        <f t="shared" ref="R57" si="134">ROUND(O57*M57,2)</f>
        <v>7965.47</v>
      </c>
      <c r="S57" s="102">
        <f t="shared" ref="S57" si="135">ROUND(P57*M57,2)</f>
        <v>9504.11</v>
      </c>
      <c r="T57" s="410">
        <f t="shared" ref="T57:T58" si="136">$M$6</f>
        <v>0.25</v>
      </c>
      <c r="U57" s="408">
        <f t="shared" ref="U57" si="137">ROUND(S57*(1+T57),2)</f>
        <v>11880.14</v>
      </c>
      <c r="V57" s="171">
        <f>+S57/Resumo!$D$33</f>
        <v>2.2820094522215444E-2</v>
      </c>
      <c r="W57" s="104"/>
      <c r="X57" s="332"/>
      <c r="Y57" s="358"/>
    </row>
    <row r="58" spans="1:25" s="72" customFormat="1" x14ac:dyDescent="0.25">
      <c r="A58" s="524" t="s">
        <v>877</v>
      </c>
      <c r="B58" s="519" t="s">
        <v>115</v>
      </c>
      <c r="C58" s="519" t="str">
        <f>A58</f>
        <v>2.7.2.2</v>
      </c>
      <c r="D58" s="520" t="s">
        <v>878</v>
      </c>
      <c r="E58" s="525" t="s">
        <v>46</v>
      </c>
      <c r="F58" s="690">
        <v>2</v>
      </c>
      <c r="G58" s="399"/>
      <c r="H58" s="691">
        <f t="shared" si="130"/>
        <v>2</v>
      </c>
      <c r="I58" s="399">
        <v>6</v>
      </c>
      <c r="J58" s="399">
        <v>2</v>
      </c>
      <c r="K58" s="399">
        <v>0</v>
      </c>
      <c r="L58" s="588">
        <f t="shared" si="131"/>
        <v>8</v>
      </c>
      <c r="M58" s="530">
        <f>H58+L58</f>
        <v>10</v>
      </c>
      <c r="N58" s="102">
        <f>(ROUND(VLOOKUP(D58,Comp!$B$2:$M$23042,12,0),2))</f>
        <v>20.83</v>
      </c>
      <c r="O58" s="102">
        <f>ROUND(VLOOKUP(D58,Comp!$B$8:$M$23042,7,0),2)</f>
        <v>112.92</v>
      </c>
      <c r="P58" s="102">
        <f t="shared" ref="P58" si="138">+ROUND(N58+O58,2)</f>
        <v>133.75</v>
      </c>
      <c r="Q58" s="102">
        <f t="shared" ref="Q58" si="139">ROUND(N58*M58,2)</f>
        <v>208.3</v>
      </c>
      <c r="R58" s="102">
        <f t="shared" ref="R58" si="140">ROUND(O58*M58,2)</f>
        <v>1129.2</v>
      </c>
      <c r="S58" s="102">
        <f t="shared" ref="S58" si="141">ROUND(P58*M58,2)</f>
        <v>1337.5</v>
      </c>
      <c r="T58" s="410">
        <f t="shared" si="136"/>
        <v>0.25</v>
      </c>
      <c r="U58" s="408">
        <f t="shared" ref="U58" si="142">ROUND(S58*(1+T58),2)</f>
        <v>1671.88</v>
      </c>
      <c r="V58" s="171">
        <f>+S58/Resumo!$D$33</f>
        <v>3.211439726966876E-3</v>
      </c>
      <c r="W58" s="104"/>
      <c r="X58" s="332"/>
      <c r="Y58" s="358"/>
    </row>
    <row r="59" spans="1:25" s="28" customFormat="1" x14ac:dyDescent="0.25">
      <c r="A59" s="106" t="s">
        <v>325</v>
      </c>
      <c r="B59" s="392"/>
      <c r="C59" s="392"/>
      <c r="D59" s="65" t="s">
        <v>101</v>
      </c>
      <c r="E59" s="134"/>
      <c r="F59" s="692"/>
      <c r="G59" s="403"/>
      <c r="H59" s="692"/>
      <c r="I59" s="403"/>
      <c r="J59" s="403"/>
      <c r="K59" s="403"/>
      <c r="L59" s="403"/>
      <c r="M59" s="46"/>
      <c r="N59" s="46"/>
      <c r="O59" s="46"/>
      <c r="P59" s="46"/>
      <c r="Q59" s="46">
        <f>SUM(Q60:Q60)</f>
        <v>0</v>
      </c>
      <c r="R59" s="46">
        <f>SUM(R60:R60)</f>
        <v>0</v>
      </c>
      <c r="S59" s="46">
        <f>SUM(S60:S60)</f>
        <v>0</v>
      </c>
      <c r="T59" s="46"/>
      <c r="U59" s="46">
        <f>SUM(U60:U60)</f>
        <v>0</v>
      </c>
      <c r="V59" s="173">
        <f>+S59/Resumo!$D$33</f>
        <v>0</v>
      </c>
      <c r="W59" s="104" t="s">
        <v>86</v>
      </c>
      <c r="X59" s="332"/>
      <c r="Y59" s="358"/>
    </row>
    <row r="60" spans="1:25" s="72" customFormat="1" x14ac:dyDescent="0.25">
      <c r="A60" s="517">
        <v>0</v>
      </c>
      <c r="B60" s="518">
        <v>0</v>
      </c>
      <c r="C60" s="518">
        <v>0</v>
      </c>
      <c r="D60" s="523" t="s">
        <v>124</v>
      </c>
      <c r="E60" s="521">
        <v>0</v>
      </c>
      <c r="F60" s="690">
        <v>0</v>
      </c>
      <c r="G60" s="399"/>
      <c r="H60" s="691">
        <f>SUM(F60:G60)</f>
        <v>0</v>
      </c>
      <c r="I60" s="399">
        <v>0</v>
      </c>
      <c r="J60" s="399">
        <v>0</v>
      </c>
      <c r="K60" s="399">
        <v>0</v>
      </c>
      <c r="L60" s="588">
        <f t="shared" ref="L60" si="143">SUM(I60:K60)</f>
        <v>0</v>
      </c>
      <c r="M60" s="530">
        <v>0</v>
      </c>
      <c r="N60" s="102">
        <v>0</v>
      </c>
      <c r="O60" s="102">
        <v>0</v>
      </c>
      <c r="P60" s="102">
        <f t="shared" ref="P60" si="144">+ROUND(N60+O60,2)</f>
        <v>0</v>
      </c>
      <c r="Q60" s="102">
        <f t="shared" ref="Q60" si="145">ROUND(N60*M60,2)</f>
        <v>0</v>
      </c>
      <c r="R60" s="102">
        <f t="shared" ref="R60" si="146">ROUND(O60*M60,2)</f>
        <v>0</v>
      </c>
      <c r="S60" s="102">
        <f t="shared" ref="S60" si="147">ROUND(P60*M60,2)</f>
        <v>0</v>
      </c>
      <c r="T60" s="410">
        <f t="shared" ref="T60" si="148">$M$6</f>
        <v>0.25</v>
      </c>
      <c r="U60" s="408">
        <f t="shared" ref="U60" si="149">ROUND(S60*(1+T60),2)</f>
        <v>0</v>
      </c>
      <c r="V60" s="171">
        <f>+S60/Resumo!$D$33</f>
        <v>0</v>
      </c>
      <c r="W60" s="104"/>
      <c r="X60" s="120"/>
      <c r="Y60" s="358"/>
    </row>
    <row r="61" spans="1:25" s="28" customFormat="1" x14ac:dyDescent="0.25">
      <c r="A61" s="106" t="s">
        <v>408</v>
      </c>
      <c r="B61" s="392"/>
      <c r="C61" s="392"/>
      <c r="D61" s="65" t="s">
        <v>95</v>
      </c>
      <c r="E61" s="134"/>
      <c r="F61" s="692"/>
      <c r="G61" s="403"/>
      <c r="H61" s="692"/>
      <c r="I61" s="403"/>
      <c r="J61" s="403"/>
      <c r="K61" s="403"/>
      <c r="L61" s="403"/>
      <c r="M61" s="46"/>
      <c r="N61" s="46"/>
      <c r="O61" s="46"/>
      <c r="P61" s="46"/>
      <c r="Q61" s="46">
        <f>SUM(Q62:Q64)</f>
        <v>3817.09</v>
      </c>
      <c r="R61" s="46">
        <f t="shared" ref="R61:S61" si="150">SUM(R62:R64)</f>
        <v>6386.11</v>
      </c>
      <c r="S61" s="46">
        <f t="shared" si="150"/>
        <v>10203.200000000001</v>
      </c>
      <c r="T61" s="46"/>
      <c r="U61" s="46">
        <f t="shared" ref="U61" si="151">SUM(U62:U64)</f>
        <v>12754</v>
      </c>
      <c r="V61" s="173">
        <f>+S61/Resumo!$D$33</f>
        <v>2.4498663044626865E-2</v>
      </c>
      <c r="W61" s="104" t="s">
        <v>86</v>
      </c>
      <c r="X61" s="125"/>
      <c r="Y61" s="358"/>
    </row>
    <row r="62" spans="1:25" s="72" customFormat="1" ht="30" x14ac:dyDescent="0.25">
      <c r="A62" s="524" t="s">
        <v>409</v>
      </c>
      <c r="B62" s="518" t="s">
        <v>94</v>
      </c>
      <c r="C62" s="519">
        <v>88497</v>
      </c>
      <c r="D62" s="520" t="s">
        <v>390</v>
      </c>
      <c r="E62" s="521" t="s">
        <v>61</v>
      </c>
      <c r="F62" s="690">
        <v>1.68</v>
      </c>
      <c r="G62" s="399"/>
      <c r="H62" s="691">
        <f t="shared" ref="H62:H64" si="152">SUM(F62:G62)</f>
        <v>1.68</v>
      </c>
      <c r="I62" s="399">
        <v>242.25</v>
      </c>
      <c r="J62" s="399">
        <v>56.57</v>
      </c>
      <c r="K62" s="399">
        <v>0</v>
      </c>
      <c r="L62" s="588">
        <f t="shared" ref="L62:L64" si="153">SUM(I62:K62)</f>
        <v>298.82</v>
      </c>
      <c r="M62" s="530">
        <f>H62+L62</f>
        <v>300.5</v>
      </c>
      <c r="N62" s="102">
        <v>6.57</v>
      </c>
      <c r="O62" s="102">
        <v>6.72</v>
      </c>
      <c r="P62" s="102">
        <f t="shared" ref="P62:P64" si="154">+ROUND(N62+O62,2)</f>
        <v>13.29</v>
      </c>
      <c r="Q62" s="102">
        <f t="shared" ref="Q62:Q64" si="155">ROUND(N62*M62,2)</f>
        <v>1974.29</v>
      </c>
      <c r="R62" s="102">
        <f t="shared" ref="R62:R64" si="156">ROUND(O62*M62,2)</f>
        <v>2019.36</v>
      </c>
      <c r="S62" s="102">
        <f t="shared" ref="S62:S64" si="157">ROUND(P62*M62,2)</f>
        <v>3993.65</v>
      </c>
      <c r="T62" s="410">
        <f t="shared" ref="T62:T64" si="158">$M$6</f>
        <v>0.25</v>
      </c>
      <c r="U62" s="408">
        <f t="shared" ref="U62:U64" si="159">ROUND(S62*(1+T62),2)</f>
        <v>4992.0600000000004</v>
      </c>
      <c r="V62" s="171">
        <f>+S62/Resumo!$D$33</f>
        <v>9.5890588901691703E-3</v>
      </c>
      <c r="W62" s="104"/>
      <c r="X62" s="120"/>
      <c r="Y62" s="358"/>
    </row>
    <row r="63" spans="1:25" s="72" customFormat="1" ht="30" x14ac:dyDescent="0.25">
      <c r="A63" s="524" t="s">
        <v>410</v>
      </c>
      <c r="B63" s="519" t="s">
        <v>94</v>
      </c>
      <c r="C63" s="519">
        <v>88485</v>
      </c>
      <c r="D63" s="520" t="s">
        <v>118</v>
      </c>
      <c r="E63" s="525" t="s">
        <v>61</v>
      </c>
      <c r="F63" s="690">
        <v>1.68</v>
      </c>
      <c r="G63" s="399"/>
      <c r="H63" s="691">
        <f t="shared" si="152"/>
        <v>1.68</v>
      </c>
      <c r="I63" s="399">
        <v>242.25</v>
      </c>
      <c r="J63" s="399">
        <v>56.57</v>
      </c>
      <c r="K63" s="399">
        <v>0</v>
      </c>
      <c r="L63" s="588">
        <f t="shared" si="153"/>
        <v>298.82</v>
      </c>
      <c r="M63" s="530">
        <f>H63+L63</f>
        <v>300.5</v>
      </c>
      <c r="N63" s="102">
        <v>0.81</v>
      </c>
      <c r="O63" s="102">
        <v>1.3</v>
      </c>
      <c r="P63" s="102">
        <f t="shared" si="154"/>
        <v>2.11</v>
      </c>
      <c r="Q63" s="102">
        <f t="shared" si="155"/>
        <v>243.41</v>
      </c>
      <c r="R63" s="102">
        <f t="shared" si="156"/>
        <v>390.65</v>
      </c>
      <c r="S63" s="102">
        <f t="shared" si="157"/>
        <v>634.05999999999995</v>
      </c>
      <c r="T63" s="410">
        <f t="shared" si="158"/>
        <v>0.25</v>
      </c>
      <c r="U63" s="408">
        <f t="shared" si="159"/>
        <v>792.58</v>
      </c>
      <c r="V63" s="171">
        <f>+S63/Resumo!$D$33</f>
        <v>1.5224265220789661E-3</v>
      </c>
      <c r="W63" s="104"/>
      <c r="X63" s="120"/>
      <c r="Y63" s="358"/>
    </row>
    <row r="64" spans="1:25" s="72" customFormat="1" ht="30" x14ac:dyDescent="0.25">
      <c r="A64" s="524" t="s">
        <v>411</v>
      </c>
      <c r="B64" s="519" t="s">
        <v>94</v>
      </c>
      <c r="C64" s="519">
        <v>88489</v>
      </c>
      <c r="D64" s="520" t="s">
        <v>119</v>
      </c>
      <c r="E64" s="525" t="s">
        <v>61</v>
      </c>
      <c r="F64" s="690">
        <v>39.799999999999997</v>
      </c>
      <c r="G64" s="399"/>
      <c r="H64" s="691">
        <f t="shared" si="152"/>
        <v>39.799999999999997</v>
      </c>
      <c r="I64" s="399">
        <v>283.10000000000002</v>
      </c>
      <c r="J64" s="399">
        <v>84.07</v>
      </c>
      <c r="K64" s="399">
        <v>0</v>
      </c>
      <c r="L64" s="588">
        <f t="shared" si="153"/>
        <v>367.17</v>
      </c>
      <c r="M64" s="530">
        <f>H64+L64</f>
        <v>406.97</v>
      </c>
      <c r="N64" s="102">
        <v>3.93</v>
      </c>
      <c r="O64" s="102">
        <v>9.77</v>
      </c>
      <c r="P64" s="102">
        <f t="shared" si="154"/>
        <v>13.7</v>
      </c>
      <c r="Q64" s="102">
        <f t="shared" si="155"/>
        <v>1599.39</v>
      </c>
      <c r="R64" s="102">
        <f t="shared" si="156"/>
        <v>3976.1</v>
      </c>
      <c r="S64" s="102">
        <f t="shared" si="157"/>
        <v>5575.49</v>
      </c>
      <c r="T64" s="410">
        <f t="shared" si="158"/>
        <v>0.25</v>
      </c>
      <c r="U64" s="408">
        <f t="shared" si="159"/>
        <v>6969.36</v>
      </c>
      <c r="V64" s="171">
        <f>+S64/Resumo!$D$33</f>
        <v>1.3387177632378726E-2</v>
      </c>
      <c r="W64" s="104"/>
      <c r="X64" s="120"/>
      <c r="Y64" s="358"/>
    </row>
    <row r="65" spans="1:25" s="28" customFormat="1" x14ac:dyDescent="0.25">
      <c r="A65" s="106" t="s">
        <v>412</v>
      </c>
      <c r="B65" s="392"/>
      <c r="C65" s="392"/>
      <c r="D65" s="65" t="s">
        <v>108</v>
      </c>
      <c r="E65" s="134"/>
      <c r="F65" s="692"/>
      <c r="G65" s="403"/>
      <c r="H65" s="692"/>
      <c r="I65" s="403"/>
      <c r="J65" s="403"/>
      <c r="K65" s="403"/>
      <c r="L65" s="403"/>
      <c r="M65" s="46"/>
      <c r="N65" s="46"/>
      <c r="O65" s="46"/>
      <c r="P65" s="46"/>
      <c r="Q65" s="46">
        <f>SUM(Q66:Q68)</f>
        <v>2888.67</v>
      </c>
      <c r="R65" s="46">
        <f>SUM(R66:R68)</f>
        <v>2941.14</v>
      </c>
      <c r="S65" s="46">
        <f>SUM(S66:S68)</f>
        <v>5829.8099999999995</v>
      </c>
      <c r="T65" s="46"/>
      <c r="U65" s="46">
        <f>SUM(U66:U68)</f>
        <v>7287.27</v>
      </c>
      <c r="V65" s="173">
        <f>+S65/Resumo!$D$33</f>
        <v>1.3997819390406551E-2</v>
      </c>
      <c r="W65" s="104" t="s">
        <v>86</v>
      </c>
      <c r="X65" s="125"/>
      <c r="Y65" s="358"/>
    </row>
    <row r="66" spans="1:25" s="72" customFormat="1" ht="30" x14ac:dyDescent="0.25">
      <c r="A66" s="524" t="s">
        <v>413</v>
      </c>
      <c r="B66" s="518" t="s">
        <v>94</v>
      </c>
      <c r="C66" s="519">
        <v>88496</v>
      </c>
      <c r="D66" s="520" t="s">
        <v>391</v>
      </c>
      <c r="E66" s="521" t="s">
        <v>61</v>
      </c>
      <c r="F66" s="690">
        <v>10.71</v>
      </c>
      <c r="G66" s="399"/>
      <c r="H66" s="691">
        <f t="shared" ref="H66:H68" si="160">SUM(F66:G66)</f>
        <v>10.71</v>
      </c>
      <c r="I66" s="399">
        <v>101.9</v>
      </c>
      <c r="J66" s="399">
        <v>29.2</v>
      </c>
      <c r="K66" s="399">
        <v>0</v>
      </c>
      <c r="L66" s="588">
        <f t="shared" ref="L66:L68" si="161">SUM(I66:K66)</f>
        <v>131.1</v>
      </c>
      <c r="M66" s="530">
        <f>H66+L66</f>
        <v>141.81</v>
      </c>
      <c r="N66" s="102">
        <v>14.16</v>
      </c>
      <c r="O66" s="102">
        <v>9.2100000000000009</v>
      </c>
      <c r="P66" s="102">
        <f t="shared" ref="P66:P67" si="162">+ROUND(N66+O66,2)</f>
        <v>23.37</v>
      </c>
      <c r="Q66" s="102">
        <f t="shared" ref="Q66:Q67" si="163">ROUND(N66*M66,2)</f>
        <v>2008.03</v>
      </c>
      <c r="R66" s="102">
        <f t="shared" ref="R66:R67" si="164">ROUND(O66*M66,2)</f>
        <v>1306.07</v>
      </c>
      <c r="S66" s="102">
        <f t="shared" ref="S66:S67" si="165">ROUND(P66*M66,2)</f>
        <v>3314.1</v>
      </c>
      <c r="T66" s="410">
        <f t="shared" ref="T66:T68" si="166">$M$6</f>
        <v>0.25</v>
      </c>
      <c r="U66" s="408">
        <f t="shared" ref="U66:U67" si="167">ROUND(S66*(1+T66),2)</f>
        <v>4142.63</v>
      </c>
      <c r="V66" s="171">
        <f>+S66/Resumo!$D$33</f>
        <v>7.9574074012268587E-3</v>
      </c>
      <c r="W66" s="104"/>
      <c r="X66" s="120"/>
      <c r="Y66" s="358"/>
    </row>
    <row r="67" spans="1:25" s="72" customFormat="1" ht="30" x14ac:dyDescent="0.25">
      <c r="A67" s="524" t="s">
        <v>414</v>
      </c>
      <c r="B67" s="519" t="s">
        <v>94</v>
      </c>
      <c r="C67" s="519">
        <v>88484</v>
      </c>
      <c r="D67" s="520" t="s">
        <v>721</v>
      </c>
      <c r="E67" s="525" t="s">
        <v>61</v>
      </c>
      <c r="F67" s="690">
        <v>10.71</v>
      </c>
      <c r="G67" s="399"/>
      <c r="H67" s="691">
        <f t="shared" si="160"/>
        <v>10.71</v>
      </c>
      <c r="I67" s="399">
        <v>101.9</v>
      </c>
      <c r="J67" s="399">
        <v>29.2</v>
      </c>
      <c r="K67" s="399">
        <v>0</v>
      </c>
      <c r="L67" s="588">
        <f t="shared" si="161"/>
        <v>131.1</v>
      </c>
      <c r="M67" s="530">
        <f>H67+L67</f>
        <v>141.81</v>
      </c>
      <c r="N67" s="102">
        <v>1.0900000000000001</v>
      </c>
      <c r="O67" s="102">
        <v>1.37</v>
      </c>
      <c r="P67" s="102">
        <f t="shared" si="162"/>
        <v>2.46</v>
      </c>
      <c r="Q67" s="102">
        <f t="shared" si="163"/>
        <v>154.57</v>
      </c>
      <c r="R67" s="102">
        <f t="shared" si="164"/>
        <v>194.28</v>
      </c>
      <c r="S67" s="102">
        <f t="shared" si="165"/>
        <v>348.85</v>
      </c>
      <c r="T67" s="410">
        <f t="shared" si="166"/>
        <v>0.25</v>
      </c>
      <c r="U67" s="408">
        <f t="shared" si="167"/>
        <v>436.06</v>
      </c>
      <c r="V67" s="171">
        <f>+S67/Resumo!$D$33</f>
        <v>8.3761551308590265E-4</v>
      </c>
      <c r="W67" s="104"/>
      <c r="X67" s="120"/>
      <c r="Y67" s="358"/>
    </row>
    <row r="68" spans="1:25" s="72" customFormat="1" ht="30" x14ac:dyDescent="0.25">
      <c r="A68" s="524" t="s">
        <v>415</v>
      </c>
      <c r="B68" s="519" t="s">
        <v>94</v>
      </c>
      <c r="C68" s="519">
        <v>88488</v>
      </c>
      <c r="D68" s="520" t="s">
        <v>956</v>
      </c>
      <c r="E68" s="525" t="s">
        <v>61</v>
      </c>
      <c r="F68" s="690">
        <v>10.71</v>
      </c>
      <c r="G68" s="399"/>
      <c r="H68" s="691">
        <f t="shared" si="160"/>
        <v>10.71</v>
      </c>
      <c r="I68" s="399">
        <v>101.9</v>
      </c>
      <c r="J68" s="399">
        <v>29.2</v>
      </c>
      <c r="K68" s="399">
        <v>0</v>
      </c>
      <c r="L68" s="588">
        <f t="shared" si="161"/>
        <v>131.1</v>
      </c>
      <c r="M68" s="530">
        <f>H68+L68</f>
        <v>141.81</v>
      </c>
      <c r="N68" s="102">
        <v>5.12</v>
      </c>
      <c r="O68" s="102">
        <v>10.16</v>
      </c>
      <c r="P68" s="102">
        <f t="shared" ref="P68" si="168">+ROUND(N68+O68,2)</f>
        <v>15.28</v>
      </c>
      <c r="Q68" s="102">
        <f t="shared" ref="Q68" si="169">ROUND(N68*M68,2)</f>
        <v>726.07</v>
      </c>
      <c r="R68" s="102">
        <f t="shared" ref="R68" si="170">ROUND(O68*M68,2)</f>
        <v>1440.79</v>
      </c>
      <c r="S68" s="102">
        <f t="shared" ref="S68" si="171">ROUND(P68*M68,2)</f>
        <v>2166.86</v>
      </c>
      <c r="T68" s="410">
        <f t="shared" si="166"/>
        <v>0.25</v>
      </c>
      <c r="U68" s="408">
        <f t="shared" ref="U68" si="172">ROUND(S68*(1+T68),2)</f>
        <v>2708.58</v>
      </c>
      <c r="V68" s="171">
        <f>+S68/Resumo!$D$33</f>
        <v>5.2027964760937911E-3</v>
      </c>
      <c r="W68" s="104"/>
      <c r="X68" s="120"/>
      <c r="Y68" s="358"/>
    </row>
    <row r="69" spans="1:25" s="28" customFormat="1" x14ac:dyDescent="0.25">
      <c r="A69" s="106" t="s">
        <v>416</v>
      </c>
      <c r="B69" s="392"/>
      <c r="C69" s="392"/>
      <c r="D69" s="65" t="s">
        <v>78</v>
      </c>
      <c r="E69" s="134"/>
      <c r="F69" s="692"/>
      <c r="G69" s="403"/>
      <c r="H69" s="692"/>
      <c r="I69" s="403"/>
      <c r="J69" s="403"/>
      <c r="K69" s="403"/>
      <c r="L69" s="403"/>
      <c r="M69" s="46"/>
      <c r="N69" s="46"/>
      <c r="O69" s="46"/>
      <c r="P69" s="46"/>
      <c r="Q69" s="46">
        <f>SUM(Q70:Q70)</f>
        <v>0</v>
      </c>
      <c r="R69" s="46">
        <f>SUM(R70:R70)</f>
        <v>0</v>
      </c>
      <c r="S69" s="46">
        <f>SUM(S70:S70)</f>
        <v>0</v>
      </c>
      <c r="T69" s="46"/>
      <c r="U69" s="46">
        <f>SUM(U70:U70)</f>
        <v>0</v>
      </c>
      <c r="V69" s="173">
        <f>+S69/Resumo!$D$33</f>
        <v>0</v>
      </c>
      <c r="W69" s="104" t="s">
        <v>86</v>
      </c>
      <c r="X69" s="121"/>
      <c r="Y69" s="358"/>
    </row>
    <row r="70" spans="1:25" s="72" customFormat="1" x14ac:dyDescent="0.25">
      <c r="A70" s="517">
        <v>0</v>
      </c>
      <c r="B70" s="518">
        <v>0</v>
      </c>
      <c r="C70" s="518">
        <v>0</v>
      </c>
      <c r="D70" s="523" t="s">
        <v>124</v>
      </c>
      <c r="E70" s="521">
        <v>0</v>
      </c>
      <c r="F70" s="690">
        <v>0</v>
      </c>
      <c r="G70" s="399"/>
      <c r="H70" s="691">
        <f>SUM(F70:G70)</f>
        <v>0</v>
      </c>
      <c r="I70" s="399">
        <v>0</v>
      </c>
      <c r="J70" s="399">
        <v>0</v>
      </c>
      <c r="K70" s="399">
        <v>0</v>
      </c>
      <c r="L70" s="588">
        <f t="shared" ref="L70" si="173">SUM(I70:K70)</f>
        <v>0</v>
      </c>
      <c r="M70" s="530">
        <v>0</v>
      </c>
      <c r="N70" s="102">
        <v>0</v>
      </c>
      <c r="O70" s="102">
        <v>0</v>
      </c>
      <c r="P70" s="102">
        <f t="shared" ref="P70" si="174">+ROUND(N70+O70,2)</f>
        <v>0</v>
      </c>
      <c r="Q70" s="102">
        <f t="shared" ref="Q70" si="175">ROUND(N70*M70,2)</f>
        <v>0</v>
      </c>
      <c r="R70" s="102">
        <f t="shared" ref="R70" si="176">ROUND(O70*M70,2)</f>
        <v>0</v>
      </c>
      <c r="S70" s="102">
        <f t="shared" ref="S70" si="177">ROUND(P70*M70,2)</f>
        <v>0</v>
      </c>
      <c r="T70" s="410">
        <f t="shared" ref="T70" si="178">$M$6</f>
        <v>0.25</v>
      </c>
      <c r="U70" s="408">
        <f t="shared" ref="U70" si="179">ROUND(S70*(1+T70),2)</f>
        <v>0</v>
      </c>
      <c r="V70" s="171">
        <f>+S70/Resumo!$D$33</f>
        <v>0</v>
      </c>
      <c r="W70" s="104"/>
      <c r="X70" s="120"/>
      <c r="Y70" s="358"/>
    </row>
    <row r="71" spans="1:25" s="34" customFormat="1" ht="15.75" x14ac:dyDescent="0.25">
      <c r="A71" s="339" t="s">
        <v>326</v>
      </c>
      <c r="B71" s="393"/>
      <c r="C71" s="393"/>
      <c r="D71" s="63" t="s">
        <v>35</v>
      </c>
      <c r="E71" s="132"/>
      <c r="F71" s="693"/>
      <c r="G71" s="404"/>
      <c r="H71" s="693"/>
      <c r="I71" s="404"/>
      <c r="J71" s="404"/>
      <c r="K71" s="404"/>
      <c r="L71" s="404"/>
      <c r="M71" s="45"/>
      <c r="N71" s="45"/>
      <c r="O71" s="45"/>
      <c r="P71" s="45"/>
      <c r="Q71" s="45">
        <f>Q72+Q79</f>
        <v>6283.33</v>
      </c>
      <c r="R71" s="45">
        <f>R72+R79</f>
        <v>47241.780000000006</v>
      </c>
      <c r="S71" s="45">
        <f>S72+S79</f>
        <v>53525.109999999993</v>
      </c>
      <c r="T71" s="45"/>
      <c r="U71" s="45">
        <f>U72+U79</f>
        <v>66906.37999999999</v>
      </c>
      <c r="V71" s="172">
        <f>+S71/Resumo!$D$33</f>
        <v>0.12851788010786691</v>
      </c>
      <c r="W71" s="104" t="s">
        <v>86</v>
      </c>
      <c r="X71" s="125"/>
      <c r="Y71" s="358"/>
    </row>
    <row r="72" spans="1:25" s="28" customFormat="1" x14ac:dyDescent="0.25">
      <c r="A72" s="106" t="s">
        <v>327</v>
      </c>
      <c r="B72" s="392"/>
      <c r="C72" s="392"/>
      <c r="D72" s="64" t="s">
        <v>79</v>
      </c>
      <c r="E72" s="134"/>
      <c r="F72" s="692"/>
      <c r="G72" s="403"/>
      <c r="H72" s="692"/>
      <c r="I72" s="403"/>
      <c r="J72" s="403"/>
      <c r="K72" s="403"/>
      <c r="L72" s="403"/>
      <c r="M72" s="46"/>
      <c r="N72" s="46"/>
      <c r="O72" s="46"/>
      <c r="P72" s="46"/>
      <c r="Q72" s="46">
        <f>SUM(Q73:Q78)</f>
        <v>6283.33</v>
      </c>
      <c r="R72" s="46">
        <f>SUM(R73:R78)</f>
        <v>47241.780000000006</v>
      </c>
      <c r="S72" s="46">
        <f>SUM(S73:S78)</f>
        <v>53525.109999999993</v>
      </c>
      <c r="T72" s="46"/>
      <c r="U72" s="46">
        <f>SUM(U73:U78)</f>
        <v>66906.37999999999</v>
      </c>
      <c r="V72" s="173">
        <f>+S72/Resumo!$D$33</f>
        <v>0.12851788010786691</v>
      </c>
      <c r="W72" s="104" t="s">
        <v>86</v>
      </c>
      <c r="X72" s="125"/>
      <c r="Y72" s="358"/>
    </row>
    <row r="73" spans="1:25" s="72" customFormat="1" x14ac:dyDescent="0.25">
      <c r="A73" s="524" t="s">
        <v>327</v>
      </c>
      <c r="B73" s="519" t="s">
        <v>94</v>
      </c>
      <c r="C73" s="519">
        <v>99805</v>
      </c>
      <c r="D73" s="520" t="s">
        <v>420</v>
      </c>
      <c r="E73" s="525" t="s">
        <v>61</v>
      </c>
      <c r="F73" s="690">
        <v>0</v>
      </c>
      <c r="G73" s="399"/>
      <c r="H73" s="691">
        <f t="shared" ref="H73:H78" si="180">SUM(F73:G73)</f>
        <v>0</v>
      </c>
      <c r="I73" s="399">
        <v>0</v>
      </c>
      <c r="J73" s="399">
        <v>0</v>
      </c>
      <c r="K73" s="399">
        <v>0</v>
      </c>
      <c r="L73" s="588">
        <f t="shared" ref="L73:L78" si="181">SUM(I73:K73)</f>
        <v>0</v>
      </c>
      <c r="M73" s="530">
        <f t="shared" ref="M73:M78" si="182">H73+L73</f>
        <v>0</v>
      </c>
      <c r="N73" s="102">
        <v>6.38</v>
      </c>
      <c r="O73" s="102">
        <v>2.36</v>
      </c>
      <c r="P73" s="102">
        <f t="shared" ref="P73" si="183">+ROUND(N73+O73,2)</f>
        <v>8.74</v>
      </c>
      <c r="Q73" s="102">
        <f t="shared" ref="Q73" si="184">ROUND(N73*M73,2)</f>
        <v>0</v>
      </c>
      <c r="R73" s="102">
        <f t="shared" ref="R73" si="185">ROUND(O73*M73,2)</f>
        <v>0</v>
      </c>
      <c r="S73" s="102">
        <f t="shared" ref="S73" si="186">ROUND(P73*M73,2)</f>
        <v>0</v>
      </c>
      <c r="T73" s="410">
        <f t="shared" ref="T73:T78" si="187">$M$6</f>
        <v>0.25</v>
      </c>
      <c r="U73" s="408">
        <f t="shared" ref="U73" si="188">ROUND(S73*(1+T73),2)</f>
        <v>0</v>
      </c>
      <c r="V73" s="171">
        <f>+S73/Resumo!$D$33</f>
        <v>0</v>
      </c>
      <c r="W73" s="104"/>
      <c r="X73" s="124"/>
      <c r="Y73" s="358"/>
    </row>
    <row r="74" spans="1:25" s="72" customFormat="1" x14ac:dyDescent="0.25">
      <c r="A74" s="524" t="s">
        <v>328</v>
      </c>
      <c r="B74" s="519" t="s">
        <v>115</v>
      </c>
      <c r="C74" s="519" t="str">
        <f>A74</f>
        <v>2.8.2</v>
      </c>
      <c r="D74" s="520" t="s">
        <v>421</v>
      </c>
      <c r="E74" s="525" t="s">
        <v>61</v>
      </c>
      <c r="F74" s="690">
        <v>10.71</v>
      </c>
      <c r="G74" s="399"/>
      <c r="H74" s="691">
        <f t="shared" si="180"/>
        <v>10.71</v>
      </c>
      <c r="I74" s="399">
        <v>101.9</v>
      </c>
      <c r="J74" s="399">
        <v>29.2</v>
      </c>
      <c r="K74" s="399">
        <v>0</v>
      </c>
      <c r="L74" s="588">
        <f t="shared" si="181"/>
        <v>131.1</v>
      </c>
      <c r="M74" s="530">
        <f t="shared" si="182"/>
        <v>141.81</v>
      </c>
      <c r="N74" s="102">
        <f>(ROUND(VLOOKUP(D74,Comp!$B$2:$M$23042,12,0),2))</f>
        <v>11.34</v>
      </c>
      <c r="O74" s="102">
        <f>ROUND(VLOOKUP(D74,Comp!$B$8:$M$23042,7,0),2)</f>
        <v>33.11</v>
      </c>
      <c r="P74" s="102">
        <f t="shared" ref="P74:P76" si="189">+ROUND(N74+O74,2)</f>
        <v>44.45</v>
      </c>
      <c r="Q74" s="102">
        <f t="shared" ref="Q74:Q76" si="190">ROUND(N74*M74,2)</f>
        <v>1608.13</v>
      </c>
      <c r="R74" s="102">
        <f t="shared" ref="R74:R76" si="191">ROUND(O74*M74,2)</f>
        <v>4695.33</v>
      </c>
      <c r="S74" s="102">
        <f t="shared" ref="S74:S76" si="192">ROUND(P74*M74,2)</f>
        <v>6303.45</v>
      </c>
      <c r="T74" s="410">
        <f t="shared" si="187"/>
        <v>0.25</v>
      </c>
      <c r="U74" s="408">
        <f t="shared" ref="U74:U76" si="193">ROUND(S74*(1+T74),2)</f>
        <v>7879.31</v>
      </c>
      <c r="V74" s="171">
        <f>+S74/Resumo!$D$33</f>
        <v>1.5135065231364002E-2</v>
      </c>
      <c r="W74" s="104"/>
      <c r="X74" s="124"/>
      <c r="Y74" s="358"/>
    </row>
    <row r="75" spans="1:25" s="72" customFormat="1" x14ac:dyDescent="0.25">
      <c r="A75" s="524" t="s">
        <v>417</v>
      </c>
      <c r="B75" s="519" t="s">
        <v>115</v>
      </c>
      <c r="C75" s="519" t="str">
        <f>A75</f>
        <v>2.8.3</v>
      </c>
      <c r="D75" s="520" t="s">
        <v>422</v>
      </c>
      <c r="E75" s="525" t="s">
        <v>61</v>
      </c>
      <c r="F75" s="690">
        <v>10.71</v>
      </c>
      <c r="G75" s="399"/>
      <c r="H75" s="691">
        <f t="shared" si="180"/>
        <v>10.71</v>
      </c>
      <c r="I75" s="399">
        <v>101.9</v>
      </c>
      <c r="J75" s="399">
        <v>29.2</v>
      </c>
      <c r="K75" s="399">
        <v>0</v>
      </c>
      <c r="L75" s="588">
        <f t="shared" si="181"/>
        <v>131.1</v>
      </c>
      <c r="M75" s="530">
        <f t="shared" si="182"/>
        <v>141.81</v>
      </c>
      <c r="N75" s="102">
        <f>(ROUND(VLOOKUP(D75,Comp!$B$2:$M$23042,12,0),2))</f>
        <v>25.26</v>
      </c>
      <c r="O75" s="102">
        <f>ROUND(VLOOKUP(D75,Comp!$B$8:$M$23042,7,0),2)</f>
        <v>269.19</v>
      </c>
      <c r="P75" s="102">
        <f t="shared" si="189"/>
        <v>294.45</v>
      </c>
      <c r="Q75" s="102">
        <f t="shared" si="190"/>
        <v>3582.12</v>
      </c>
      <c r="R75" s="102">
        <f t="shared" si="191"/>
        <v>38173.83</v>
      </c>
      <c r="S75" s="102">
        <f t="shared" si="192"/>
        <v>41755.949999999997</v>
      </c>
      <c r="T75" s="410">
        <f t="shared" si="187"/>
        <v>0.25</v>
      </c>
      <c r="U75" s="408">
        <f t="shared" si="193"/>
        <v>52194.94</v>
      </c>
      <c r="V75" s="171">
        <f>+S75/Resumo!$D$33</f>
        <v>0.10025922741476076</v>
      </c>
      <c r="W75" s="104"/>
      <c r="X75" s="124"/>
      <c r="Y75" s="358"/>
    </row>
    <row r="76" spans="1:25" s="72" customFormat="1" x14ac:dyDescent="0.25">
      <c r="A76" s="524" t="s">
        <v>418</v>
      </c>
      <c r="B76" s="519" t="s">
        <v>115</v>
      </c>
      <c r="C76" s="519" t="str">
        <f>A76</f>
        <v>2.8.4</v>
      </c>
      <c r="D76" s="520" t="s">
        <v>554</v>
      </c>
      <c r="E76" s="525" t="s">
        <v>58</v>
      </c>
      <c r="F76" s="690">
        <v>11.75</v>
      </c>
      <c r="G76" s="399"/>
      <c r="H76" s="691">
        <f t="shared" si="180"/>
        <v>11.75</v>
      </c>
      <c r="I76" s="399">
        <v>90.23</v>
      </c>
      <c r="J76" s="399">
        <v>15.21</v>
      </c>
      <c r="K76" s="399">
        <v>0</v>
      </c>
      <c r="L76" s="588">
        <f t="shared" si="181"/>
        <v>105.44</v>
      </c>
      <c r="M76" s="530">
        <f t="shared" si="182"/>
        <v>117.19</v>
      </c>
      <c r="N76" s="102">
        <f>(ROUND(VLOOKUP(D76,Comp!$B$2:$M$23042,12,0),2))</f>
        <v>8.91</v>
      </c>
      <c r="O76" s="102">
        <f>ROUND(VLOOKUP(D76,Comp!$B$8:$M$23042,7,0),2)</f>
        <v>35.97</v>
      </c>
      <c r="P76" s="102">
        <f t="shared" si="189"/>
        <v>44.88</v>
      </c>
      <c r="Q76" s="102">
        <f t="shared" si="190"/>
        <v>1044.1600000000001</v>
      </c>
      <c r="R76" s="102">
        <f t="shared" si="191"/>
        <v>4215.32</v>
      </c>
      <c r="S76" s="102">
        <f t="shared" si="192"/>
        <v>5259.49</v>
      </c>
      <c r="T76" s="410">
        <f t="shared" si="187"/>
        <v>0.25</v>
      </c>
      <c r="U76" s="408">
        <f t="shared" si="193"/>
        <v>6574.36</v>
      </c>
      <c r="V76" s="171">
        <f>+S76/Resumo!$D$33</f>
        <v>1.2628437480063561E-2</v>
      </c>
      <c r="W76" s="104"/>
      <c r="X76" s="124"/>
      <c r="Y76" s="358"/>
    </row>
    <row r="77" spans="1:25" s="72" customFormat="1" x14ac:dyDescent="0.25">
      <c r="A77" s="524" t="s">
        <v>419</v>
      </c>
      <c r="B77" s="519" t="s">
        <v>115</v>
      </c>
      <c r="C77" s="519" t="str">
        <f>A77</f>
        <v>2.8.5</v>
      </c>
      <c r="D77" s="520" t="s">
        <v>879</v>
      </c>
      <c r="E77" s="525" t="s">
        <v>58</v>
      </c>
      <c r="F77" s="690">
        <v>2.67</v>
      </c>
      <c r="G77" s="399"/>
      <c r="H77" s="691">
        <f t="shared" si="180"/>
        <v>2.67</v>
      </c>
      <c r="I77" s="399">
        <v>1.74</v>
      </c>
      <c r="J77" s="399">
        <v>3.6</v>
      </c>
      <c r="K77" s="399">
        <v>0</v>
      </c>
      <c r="L77" s="588">
        <f t="shared" si="181"/>
        <v>5.34</v>
      </c>
      <c r="M77" s="530">
        <f t="shared" si="182"/>
        <v>8.01</v>
      </c>
      <c r="N77" s="102">
        <f>(ROUND(VLOOKUP(D77,Comp!$B$2:$M$23042,12,0),2))</f>
        <v>5.68</v>
      </c>
      <c r="O77" s="102">
        <f>ROUND(VLOOKUP(D77,Comp!$B$8:$M$23042,7,0),2)</f>
        <v>18.84</v>
      </c>
      <c r="P77" s="102">
        <f t="shared" ref="P77:P78" si="194">+ROUND(N77+O77,2)</f>
        <v>24.52</v>
      </c>
      <c r="Q77" s="102">
        <f t="shared" ref="Q77:Q78" si="195">ROUND(N77*M77,2)</f>
        <v>45.5</v>
      </c>
      <c r="R77" s="102">
        <f t="shared" ref="R77:R78" si="196">ROUND(O77*M77,2)</f>
        <v>150.91</v>
      </c>
      <c r="S77" s="102">
        <f t="shared" ref="S77:S78" si="197">ROUND(P77*M77,2)</f>
        <v>196.41</v>
      </c>
      <c r="T77" s="410">
        <f t="shared" si="187"/>
        <v>0.25</v>
      </c>
      <c r="U77" s="408">
        <f t="shared" ref="U77:U78" si="198">ROUND(S77*(1+T77),2)</f>
        <v>245.51</v>
      </c>
      <c r="V77" s="171">
        <f>+S77/Resumo!$D$33</f>
        <v>4.7159542188677692E-4</v>
      </c>
      <c r="W77" s="104"/>
      <c r="X77" s="124"/>
      <c r="Y77" s="358"/>
    </row>
    <row r="78" spans="1:25" s="72" customFormat="1" x14ac:dyDescent="0.25">
      <c r="A78" s="524" t="s">
        <v>876</v>
      </c>
      <c r="B78" s="519" t="s">
        <v>94</v>
      </c>
      <c r="C78" s="519">
        <v>87622</v>
      </c>
      <c r="D78" s="520" t="s">
        <v>880</v>
      </c>
      <c r="E78" s="525" t="s">
        <v>61</v>
      </c>
      <c r="F78" s="690">
        <v>0.31</v>
      </c>
      <c r="G78" s="399"/>
      <c r="H78" s="691">
        <f t="shared" si="180"/>
        <v>0.31</v>
      </c>
      <c r="I78" s="399">
        <v>0</v>
      </c>
      <c r="J78" s="399">
        <v>0</v>
      </c>
      <c r="K78" s="399">
        <v>0</v>
      </c>
      <c r="L78" s="588">
        <f t="shared" si="181"/>
        <v>0</v>
      </c>
      <c r="M78" s="530">
        <f t="shared" si="182"/>
        <v>0.31</v>
      </c>
      <c r="N78" s="102">
        <v>11.03</v>
      </c>
      <c r="O78" s="102">
        <v>20.6</v>
      </c>
      <c r="P78" s="102">
        <f t="shared" si="194"/>
        <v>31.63</v>
      </c>
      <c r="Q78" s="102">
        <f t="shared" si="195"/>
        <v>3.42</v>
      </c>
      <c r="R78" s="102">
        <f t="shared" si="196"/>
        <v>6.39</v>
      </c>
      <c r="S78" s="102">
        <f t="shared" si="197"/>
        <v>9.81</v>
      </c>
      <c r="T78" s="410">
        <f t="shared" si="187"/>
        <v>0.25</v>
      </c>
      <c r="U78" s="408">
        <f t="shared" si="198"/>
        <v>12.26</v>
      </c>
      <c r="V78" s="171">
        <f>+S78/Resumo!$D$33</f>
        <v>2.3554559791809388E-5</v>
      </c>
      <c r="W78" s="104"/>
      <c r="X78" s="124"/>
      <c r="Y78" s="358"/>
    </row>
    <row r="79" spans="1:25" s="28" customFormat="1" x14ac:dyDescent="0.25">
      <c r="A79" s="106" t="s">
        <v>328</v>
      </c>
      <c r="B79" s="392"/>
      <c r="C79" s="392"/>
      <c r="D79" s="65" t="s">
        <v>80</v>
      </c>
      <c r="E79" s="134"/>
      <c r="F79" s="692"/>
      <c r="G79" s="403"/>
      <c r="H79" s="692"/>
      <c r="I79" s="403"/>
      <c r="J79" s="403"/>
      <c r="K79" s="403"/>
      <c r="L79" s="403"/>
      <c r="M79" s="46"/>
      <c r="N79" s="46"/>
      <c r="O79" s="46"/>
      <c r="P79" s="46"/>
      <c r="Q79" s="46">
        <f>SUM(Q80:Q80)</f>
        <v>0</v>
      </c>
      <c r="R79" s="46">
        <f>SUM(R80:R80)</f>
        <v>0</v>
      </c>
      <c r="S79" s="46">
        <f>SUM(S80:S80)</f>
        <v>0</v>
      </c>
      <c r="T79" s="46"/>
      <c r="U79" s="46">
        <f>SUM(U80:U80)</f>
        <v>0</v>
      </c>
      <c r="V79" s="173">
        <f>+S79/Resumo!$D$33</f>
        <v>0</v>
      </c>
      <c r="W79" s="104" t="s">
        <v>86</v>
      </c>
      <c r="X79" s="125"/>
      <c r="Y79" s="358"/>
    </row>
    <row r="80" spans="1:25" s="28" customFormat="1" x14ac:dyDescent="0.25">
      <c r="A80" s="517">
        <v>0</v>
      </c>
      <c r="B80" s="518">
        <v>0</v>
      </c>
      <c r="C80" s="518">
        <v>0</v>
      </c>
      <c r="D80" s="523" t="s">
        <v>124</v>
      </c>
      <c r="E80" s="521">
        <v>0</v>
      </c>
      <c r="F80" s="690">
        <v>0</v>
      </c>
      <c r="G80" s="399"/>
      <c r="H80" s="691">
        <f>SUM(F80:G80)</f>
        <v>0</v>
      </c>
      <c r="I80" s="399">
        <v>0</v>
      </c>
      <c r="J80" s="399">
        <v>0</v>
      </c>
      <c r="K80" s="399">
        <v>0</v>
      </c>
      <c r="L80" s="588">
        <f t="shared" ref="L80" si="199">SUM(I80:K80)</f>
        <v>0</v>
      </c>
      <c r="M80" s="530">
        <v>0</v>
      </c>
      <c r="N80" s="102">
        <v>0</v>
      </c>
      <c r="O80" s="102">
        <v>0</v>
      </c>
      <c r="P80" s="102">
        <f t="shared" ref="P80" si="200">+ROUND(N80+O80,2)</f>
        <v>0</v>
      </c>
      <c r="Q80" s="102">
        <f t="shared" ref="Q80" si="201">ROUND(N80*M80,2)</f>
        <v>0</v>
      </c>
      <c r="R80" s="102">
        <f t="shared" ref="R80" si="202">ROUND(O80*M80,2)</f>
        <v>0</v>
      </c>
      <c r="S80" s="102">
        <f t="shared" ref="S80" si="203">ROUND(P80*M80,2)</f>
        <v>0</v>
      </c>
      <c r="T80" s="410">
        <f t="shared" ref="T80" si="204">$M$6</f>
        <v>0.25</v>
      </c>
      <c r="U80" s="408">
        <f t="shared" ref="U80" si="205">ROUND(S80*(1+T80),2)</f>
        <v>0</v>
      </c>
      <c r="V80" s="171">
        <f>+S80/Resumo!$D$33</f>
        <v>0</v>
      </c>
      <c r="W80" s="104"/>
      <c r="X80" s="125"/>
      <c r="Y80" s="358"/>
    </row>
    <row r="81" spans="1:25" s="28" customFormat="1" ht="15.75" x14ac:dyDescent="0.25">
      <c r="A81" s="339" t="s">
        <v>329</v>
      </c>
      <c r="B81" s="393"/>
      <c r="C81" s="393"/>
      <c r="D81" s="63" t="s">
        <v>938</v>
      </c>
      <c r="E81" s="132"/>
      <c r="F81" s="404"/>
      <c r="G81" s="404"/>
      <c r="H81" s="404"/>
      <c r="I81" s="404"/>
      <c r="J81" s="404"/>
      <c r="K81" s="404"/>
      <c r="L81" s="404"/>
      <c r="M81" s="45"/>
      <c r="N81" s="45"/>
      <c r="O81" s="45"/>
      <c r="P81" s="45"/>
      <c r="Q81" s="45">
        <f>Q82+Q136</f>
        <v>17751.759999999998</v>
      </c>
      <c r="R81" s="45">
        <f>R82+R136</f>
        <v>81149.220000000016</v>
      </c>
      <c r="S81" s="45">
        <f>S82+S136</f>
        <v>98900.98</v>
      </c>
      <c r="T81" s="45"/>
      <c r="U81" s="45">
        <f>U82+U136</f>
        <v>123626.32999999999</v>
      </c>
      <c r="V81" s="172">
        <f>+S81/Resumo!$D$33</f>
        <v>0.23746881211809828</v>
      </c>
      <c r="W81" s="104" t="s">
        <v>86</v>
      </c>
      <c r="X81" s="351"/>
      <c r="Y81" s="358"/>
    </row>
    <row r="82" spans="1:25" s="28" customFormat="1" x14ac:dyDescent="0.25">
      <c r="A82" s="106" t="s">
        <v>330</v>
      </c>
      <c r="B82" s="392"/>
      <c r="C82" s="392"/>
      <c r="D82" s="65" t="s">
        <v>423</v>
      </c>
      <c r="E82" s="134"/>
      <c r="F82" s="403"/>
      <c r="G82" s="403"/>
      <c r="H82" s="403"/>
      <c r="I82" s="403"/>
      <c r="J82" s="403"/>
      <c r="K82" s="403"/>
      <c r="L82" s="403"/>
      <c r="M82" s="46"/>
      <c r="N82" s="46"/>
      <c r="O82" s="46"/>
      <c r="P82" s="46"/>
      <c r="Q82" s="46">
        <f>SUM(Q83:Q135)</f>
        <v>15189.119999999997</v>
      </c>
      <c r="R82" s="46">
        <f>SUM(R83:R135)</f>
        <v>73520.610000000015</v>
      </c>
      <c r="S82" s="46">
        <f>SUM(S83:S135)</f>
        <v>88709.73</v>
      </c>
      <c r="T82" s="46"/>
      <c r="U82" s="46">
        <f>SUM(U83:U135)</f>
        <v>110887.23999999999</v>
      </c>
      <c r="V82" s="173">
        <f>+S82/Resumo!$D$33</f>
        <v>0.21299884193682639</v>
      </c>
      <c r="W82" s="104" t="s">
        <v>86</v>
      </c>
      <c r="X82" s="125"/>
      <c r="Y82" s="358"/>
    </row>
    <row r="83" spans="1:25" ht="30" x14ac:dyDescent="0.25">
      <c r="A83" s="524" t="s">
        <v>339</v>
      </c>
      <c r="B83" s="519" t="s">
        <v>94</v>
      </c>
      <c r="C83" s="519">
        <v>93654</v>
      </c>
      <c r="D83" s="559" t="s">
        <v>424</v>
      </c>
      <c r="E83" s="525" t="s">
        <v>46</v>
      </c>
      <c r="F83" s="399"/>
      <c r="G83" s="399"/>
      <c r="H83" s="588"/>
      <c r="I83" s="399">
        <v>0</v>
      </c>
      <c r="J83" s="399">
        <v>0</v>
      </c>
      <c r="K83" s="399">
        <v>0</v>
      </c>
      <c r="L83" s="588">
        <v>21</v>
      </c>
      <c r="M83" s="530">
        <f t="shared" ref="M83:M114" si="206">H83+L83</f>
        <v>21</v>
      </c>
      <c r="N83" s="102">
        <v>1.46</v>
      </c>
      <c r="O83" s="102">
        <v>10.74</v>
      </c>
      <c r="P83" s="102">
        <f t="shared" ref="P83:P120" si="207">+ROUND(N83+O83,2)</f>
        <v>12.2</v>
      </c>
      <c r="Q83" s="102">
        <f t="shared" ref="Q83:Q120" si="208">ROUND(N83*M83,2)</f>
        <v>30.66</v>
      </c>
      <c r="R83" s="102">
        <f t="shared" ref="R83:R120" si="209">ROUND(O83*M83,2)</f>
        <v>225.54</v>
      </c>
      <c r="S83" s="102">
        <f t="shared" ref="S83:S120" si="210">ROUND(P83*M83,2)</f>
        <v>256.2</v>
      </c>
      <c r="T83" s="410">
        <f t="shared" ref="T83:T135" si="211">$M$6</f>
        <v>0.25</v>
      </c>
      <c r="U83" s="408">
        <f t="shared" ref="U83:U120" si="212">ROUND(S83*(1+T83),2)</f>
        <v>320.25</v>
      </c>
      <c r="V83" s="171">
        <f>+S83/Resumo!$D$33</f>
        <v>6.1515578171881385E-4</v>
      </c>
      <c r="W83" s="104"/>
      <c r="X83" s="359"/>
      <c r="Y83" s="358"/>
    </row>
    <row r="84" spans="1:25" ht="30" x14ac:dyDescent="0.25">
      <c r="A84" s="524" t="s">
        <v>340</v>
      </c>
      <c r="B84" s="519" t="s">
        <v>94</v>
      </c>
      <c r="C84" s="519">
        <v>93655</v>
      </c>
      <c r="D84" s="559" t="s">
        <v>425</v>
      </c>
      <c r="E84" s="525" t="s">
        <v>46</v>
      </c>
      <c r="F84" s="399"/>
      <c r="G84" s="399"/>
      <c r="H84" s="588"/>
      <c r="I84" s="399">
        <v>0</v>
      </c>
      <c r="J84" s="399">
        <v>0</v>
      </c>
      <c r="K84" s="399">
        <v>0</v>
      </c>
      <c r="L84" s="588">
        <v>76</v>
      </c>
      <c r="M84" s="530">
        <f t="shared" si="206"/>
        <v>76</v>
      </c>
      <c r="N84" s="102">
        <v>2.0499999999999998</v>
      </c>
      <c r="O84" s="102">
        <v>11.17</v>
      </c>
      <c r="P84" s="102">
        <f t="shared" si="207"/>
        <v>13.22</v>
      </c>
      <c r="Q84" s="102">
        <f t="shared" si="208"/>
        <v>155.80000000000001</v>
      </c>
      <c r="R84" s="102">
        <f t="shared" si="209"/>
        <v>848.92</v>
      </c>
      <c r="S84" s="102">
        <f t="shared" si="210"/>
        <v>1004.72</v>
      </c>
      <c r="T84" s="410">
        <f t="shared" si="211"/>
        <v>0.25</v>
      </c>
      <c r="U84" s="408">
        <f t="shared" si="212"/>
        <v>1255.9000000000001</v>
      </c>
      <c r="V84" s="171">
        <f>+S84/Resumo!$D$33</f>
        <v>2.4124095121332034E-3</v>
      </c>
      <c r="W84" s="104"/>
      <c r="X84" s="359"/>
      <c r="Y84" s="358"/>
    </row>
    <row r="85" spans="1:25" ht="30" x14ac:dyDescent="0.25">
      <c r="A85" s="524" t="s">
        <v>341</v>
      </c>
      <c r="B85" s="519" t="s">
        <v>94</v>
      </c>
      <c r="C85" s="519">
        <v>93656</v>
      </c>
      <c r="D85" s="559" t="s">
        <v>754</v>
      </c>
      <c r="E85" s="525" t="s">
        <v>46</v>
      </c>
      <c r="F85" s="399"/>
      <c r="G85" s="399"/>
      <c r="H85" s="588"/>
      <c r="I85" s="399">
        <v>0</v>
      </c>
      <c r="J85" s="399">
        <v>0</v>
      </c>
      <c r="K85" s="399">
        <v>0</v>
      </c>
      <c r="L85" s="588">
        <v>0</v>
      </c>
      <c r="M85" s="530">
        <f t="shared" si="206"/>
        <v>0</v>
      </c>
      <c r="N85" s="102">
        <v>2.0499999999999998</v>
      </c>
      <c r="O85" s="102">
        <v>11.17</v>
      </c>
      <c r="P85" s="102">
        <f t="shared" ref="P85:P88" si="213">+ROUND(N85+O85,2)</f>
        <v>13.22</v>
      </c>
      <c r="Q85" s="102">
        <f t="shared" ref="Q85:Q88" si="214">ROUND(N85*M85,2)</f>
        <v>0</v>
      </c>
      <c r="R85" s="102">
        <f t="shared" ref="R85:R88" si="215">ROUND(O85*M85,2)</f>
        <v>0</v>
      </c>
      <c r="S85" s="102">
        <f t="shared" ref="S85:S88" si="216">ROUND(P85*M85,2)</f>
        <v>0</v>
      </c>
      <c r="T85" s="410">
        <f t="shared" si="211"/>
        <v>0.25</v>
      </c>
      <c r="U85" s="408">
        <f t="shared" ref="U85:U88" si="217">ROUND(S85*(1+T85),2)</f>
        <v>0</v>
      </c>
      <c r="V85" s="171">
        <f>+S85/Resumo!$D$33</f>
        <v>0</v>
      </c>
      <c r="W85" s="104"/>
      <c r="X85" s="359"/>
      <c r="Y85" s="358"/>
    </row>
    <row r="86" spans="1:25" ht="30" x14ac:dyDescent="0.25">
      <c r="A86" s="524" t="s">
        <v>342</v>
      </c>
      <c r="B86" s="519" t="s">
        <v>94</v>
      </c>
      <c r="C86" s="519">
        <v>93658</v>
      </c>
      <c r="D86" s="559" t="s">
        <v>755</v>
      </c>
      <c r="E86" s="525" t="s">
        <v>46</v>
      </c>
      <c r="F86" s="399"/>
      <c r="G86" s="399"/>
      <c r="H86" s="588"/>
      <c r="I86" s="399">
        <v>0</v>
      </c>
      <c r="J86" s="399">
        <v>0</v>
      </c>
      <c r="K86" s="399">
        <v>0</v>
      </c>
      <c r="L86" s="588">
        <v>2</v>
      </c>
      <c r="M86" s="530">
        <f t="shared" si="206"/>
        <v>2</v>
      </c>
      <c r="N86" s="102">
        <v>4.2</v>
      </c>
      <c r="O86" s="102">
        <v>16.66</v>
      </c>
      <c r="P86" s="102">
        <f t="shared" si="213"/>
        <v>20.86</v>
      </c>
      <c r="Q86" s="102">
        <f t="shared" si="214"/>
        <v>8.4</v>
      </c>
      <c r="R86" s="102">
        <f t="shared" si="215"/>
        <v>33.32</v>
      </c>
      <c r="S86" s="102">
        <f t="shared" si="216"/>
        <v>41.72</v>
      </c>
      <c r="T86" s="410">
        <f t="shared" si="211"/>
        <v>0.25</v>
      </c>
      <c r="U86" s="408">
        <f t="shared" si="217"/>
        <v>52.15</v>
      </c>
      <c r="V86" s="171">
        <f>+S86/Resumo!$D$33</f>
        <v>1.0017290871705275E-4</v>
      </c>
      <c r="W86" s="104"/>
      <c r="X86" s="359"/>
      <c r="Y86" s="358"/>
    </row>
    <row r="87" spans="1:25" ht="30" x14ac:dyDescent="0.25">
      <c r="A87" s="524" t="s">
        <v>343</v>
      </c>
      <c r="B87" s="519" t="s">
        <v>94</v>
      </c>
      <c r="C87" s="519">
        <v>93661</v>
      </c>
      <c r="D87" s="559" t="s">
        <v>756</v>
      </c>
      <c r="E87" s="525" t="s">
        <v>46</v>
      </c>
      <c r="F87" s="399"/>
      <c r="G87" s="399"/>
      <c r="H87" s="588"/>
      <c r="I87" s="399">
        <v>0</v>
      </c>
      <c r="J87" s="399">
        <v>0</v>
      </c>
      <c r="K87" s="399">
        <v>0</v>
      </c>
      <c r="L87" s="588">
        <v>3</v>
      </c>
      <c r="M87" s="530">
        <f t="shared" si="206"/>
        <v>3</v>
      </c>
      <c r="N87" s="102">
        <v>2.95</v>
      </c>
      <c r="O87" s="102">
        <v>56.62</v>
      </c>
      <c r="P87" s="102">
        <f t="shared" si="213"/>
        <v>59.57</v>
      </c>
      <c r="Q87" s="102">
        <f t="shared" si="214"/>
        <v>8.85</v>
      </c>
      <c r="R87" s="102">
        <f t="shared" si="215"/>
        <v>169.86</v>
      </c>
      <c r="S87" s="102">
        <f t="shared" si="216"/>
        <v>178.71</v>
      </c>
      <c r="T87" s="410">
        <f t="shared" si="211"/>
        <v>0.25</v>
      </c>
      <c r="U87" s="408">
        <f t="shared" si="217"/>
        <v>223.39</v>
      </c>
      <c r="V87" s="171">
        <f>+S87/Resumo!$D$33</f>
        <v>4.2909636905140219E-4</v>
      </c>
      <c r="W87" s="104"/>
      <c r="X87" s="359"/>
      <c r="Y87" s="358"/>
    </row>
    <row r="88" spans="1:25" ht="30" x14ac:dyDescent="0.25">
      <c r="A88" s="524" t="s">
        <v>344</v>
      </c>
      <c r="B88" s="519" t="s">
        <v>94</v>
      </c>
      <c r="C88" s="519">
        <v>93662</v>
      </c>
      <c r="D88" s="559" t="s">
        <v>437</v>
      </c>
      <c r="E88" s="525" t="s">
        <v>46</v>
      </c>
      <c r="F88" s="399"/>
      <c r="G88" s="399"/>
      <c r="H88" s="588"/>
      <c r="I88" s="399">
        <v>0</v>
      </c>
      <c r="J88" s="399">
        <v>0</v>
      </c>
      <c r="K88" s="399">
        <v>0</v>
      </c>
      <c r="L88" s="588">
        <v>39</v>
      </c>
      <c r="M88" s="530">
        <f t="shared" si="206"/>
        <v>39</v>
      </c>
      <c r="N88" s="102">
        <v>4.0999999999999996</v>
      </c>
      <c r="O88" s="102">
        <v>57.51</v>
      </c>
      <c r="P88" s="102">
        <f t="shared" si="213"/>
        <v>61.61</v>
      </c>
      <c r="Q88" s="102">
        <f t="shared" si="214"/>
        <v>159.9</v>
      </c>
      <c r="R88" s="102">
        <f t="shared" si="215"/>
        <v>2242.89</v>
      </c>
      <c r="S88" s="102">
        <f t="shared" si="216"/>
        <v>2402.79</v>
      </c>
      <c r="T88" s="410">
        <f t="shared" si="211"/>
        <v>0.25</v>
      </c>
      <c r="U88" s="408">
        <f t="shared" si="217"/>
        <v>3003.49</v>
      </c>
      <c r="V88" s="171">
        <f>+S88/Resumo!$D$33</f>
        <v>5.7692824385485904E-3</v>
      </c>
      <c r="W88" s="104"/>
      <c r="X88" s="359"/>
      <c r="Y88" s="358"/>
    </row>
    <row r="89" spans="1:25" ht="30" x14ac:dyDescent="0.25">
      <c r="A89" s="524" t="s">
        <v>345</v>
      </c>
      <c r="B89" s="519" t="s">
        <v>94</v>
      </c>
      <c r="C89" s="519">
        <v>93663</v>
      </c>
      <c r="D89" s="559" t="s">
        <v>757</v>
      </c>
      <c r="E89" s="525" t="s">
        <v>46</v>
      </c>
      <c r="F89" s="399"/>
      <c r="G89" s="399"/>
      <c r="H89" s="588"/>
      <c r="I89" s="399">
        <v>0</v>
      </c>
      <c r="J89" s="399">
        <v>0</v>
      </c>
      <c r="K89" s="399">
        <v>0</v>
      </c>
      <c r="L89" s="588">
        <v>1</v>
      </c>
      <c r="M89" s="530">
        <f t="shared" si="206"/>
        <v>1</v>
      </c>
      <c r="N89" s="102">
        <v>4.0999999999999996</v>
      </c>
      <c r="O89" s="102">
        <v>57.51</v>
      </c>
      <c r="P89" s="102">
        <f t="shared" ref="P89:P96" si="218">+ROUND(N89+O89,2)</f>
        <v>61.61</v>
      </c>
      <c r="Q89" s="102">
        <f t="shared" ref="Q89:Q96" si="219">ROUND(N89*M89,2)</f>
        <v>4.0999999999999996</v>
      </c>
      <c r="R89" s="102">
        <f t="shared" ref="R89:R96" si="220">ROUND(O89*M89,2)</f>
        <v>57.51</v>
      </c>
      <c r="S89" s="102">
        <f t="shared" ref="S89:S96" si="221">ROUND(P89*M89,2)</f>
        <v>61.61</v>
      </c>
      <c r="T89" s="410">
        <f t="shared" si="211"/>
        <v>0.25</v>
      </c>
      <c r="U89" s="408">
        <f t="shared" ref="U89:U96" si="222">ROUND(S89*(1+T89),2)</f>
        <v>77.010000000000005</v>
      </c>
      <c r="V89" s="171">
        <f>+S89/Resumo!$D$33</f>
        <v>1.4793031893714335E-4</v>
      </c>
      <c r="W89" s="104"/>
      <c r="X89" s="359"/>
      <c r="Y89" s="358"/>
    </row>
    <row r="90" spans="1:25" ht="30" x14ac:dyDescent="0.25">
      <c r="A90" s="524" t="s">
        <v>346</v>
      </c>
      <c r="B90" s="519" t="s">
        <v>94</v>
      </c>
      <c r="C90" s="519">
        <v>93664</v>
      </c>
      <c r="D90" s="559" t="s">
        <v>758</v>
      </c>
      <c r="E90" s="525" t="s">
        <v>46</v>
      </c>
      <c r="F90" s="399"/>
      <c r="G90" s="399"/>
      <c r="H90" s="588"/>
      <c r="I90" s="399">
        <v>0</v>
      </c>
      <c r="J90" s="399">
        <v>0</v>
      </c>
      <c r="K90" s="399">
        <v>0</v>
      </c>
      <c r="L90" s="588">
        <v>6</v>
      </c>
      <c r="M90" s="530">
        <f t="shared" si="206"/>
        <v>6</v>
      </c>
      <c r="N90" s="102">
        <v>5.66</v>
      </c>
      <c r="O90" s="102">
        <v>58.38</v>
      </c>
      <c r="P90" s="102">
        <f t="shared" si="218"/>
        <v>64.040000000000006</v>
      </c>
      <c r="Q90" s="102">
        <f t="shared" si="219"/>
        <v>33.96</v>
      </c>
      <c r="R90" s="102">
        <f t="shared" si="220"/>
        <v>350.28</v>
      </c>
      <c r="S90" s="102">
        <f t="shared" si="221"/>
        <v>384.24</v>
      </c>
      <c r="T90" s="410">
        <f t="shared" si="211"/>
        <v>0.25</v>
      </c>
      <c r="U90" s="408">
        <f t="shared" si="222"/>
        <v>480.3</v>
      </c>
      <c r="V90" s="171">
        <f>+S90/Resumo!$D$33</f>
        <v>9.2258960799233825E-4</v>
      </c>
      <c r="W90" s="104"/>
      <c r="X90" s="359"/>
      <c r="Y90" s="358"/>
    </row>
    <row r="91" spans="1:25" ht="30" x14ac:dyDescent="0.25">
      <c r="A91" s="524" t="s">
        <v>347</v>
      </c>
      <c r="B91" s="519" t="s">
        <v>94</v>
      </c>
      <c r="C91" s="519">
        <v>93668</v>
      </c>
      <c r="D91" s="559" t="s">
        <v>759</v>
      </c>
      <c r="E91" s="525" t="s">
        <v>46</v>
      </c>
      <c r="F91" s="399"/>
      <c r="G91" s="399"/>
      <c r="H91" s="588"/>
      <c r="I91" s="399">
        <v>0</v>
      </c>
      <c r="J91" s="399">
        <v>0</v>
      </c>
      <c r="K91" s="399">
        <v>0</v>
      </c>
      <c r="L91" s="588">
        <v>0</v>
      </c>
      <c r="M91" s="530">
        <f t="shared" si="206"/>
        <v>0</v>
      </c>
      <c r="N91" s="102">
        <v>4.42</v>
      </c>
      <c r="O91" s="102">
        <v>70.099999999999994</v>
      </c>
      <c r="P91" s="102">
        <f t="shared" si="218"/>
        <v>74.52</v>
      </c>
      <c r="Q91" s="102">
        <f t="shared" si="219"/>
        <v>0</v>
      </c>
      <c r="R91" s="102">
        <f t="shared" si="220"/>
        <v>0</v>
      </c>
      <c r="S91" s="102">
        <f t="shared" si="221"/>
        <v>0</v>
      </c>
      <c r="T91" s="410">
        <f t="shared" si="211"/>
        <v>0.25</v>
      </c>
      <c r="U91" s="408">
        <f t="shared" si="222"/>
        <v>0</v>
      </c>
      <c r="V91" s="171">
        <f>+S91/Resumo!$D$33</f>
        <v>0</v>
      </c>
      <c r="W91" s="104"/>
      <c r="X91" s="359"/>
      <c r="Y91" s="358"/>
    </row>
    <row r="92" spans="1:25" ht="30" x14ac:dyDescent="0.25">
      <c r="A92" s="524" t="s">
        <v>348</v>
      </c>
      <c r="B92" s="519" t="s">
        <v>94</v>
      </c>
      <c r="C92" s="519">
        <v>93669</v>
      </c>
      <c r="D92" s="559" t="s">
        <v>760</v>
      </c>
      <c r="E92" s="525" t="s">
        <v>46</v>
      </c>
      <c r="F92" s="399"/>
      <c r="G92" s="399"/>
      <c r="H92" s="588"/>
      <c r="I92" s="399">
        <v>0</v>
      </c>
      <c r="J92" s="399">
        <v>0</v>
      </c>
      <c r="K92" s="399">
        <v>0</v>
      </c>
      <c r="L92" s="588">
        <v>1</v>
      </c>
      <c r="M92" s="530">
        <f t="shared" si="206"/>
        <v>1</v>
      </c>
      <c r="N92" s="102">
        <v>6.17</v>
      </c>
      <c r="O92" s="102">
        <v>71.42</v>
      </c>
      <c r="P92" s="102">
        <f t="shared" si="218"/>
        <v>77.59</v>
      </c>
      <c r="Q92" s="102">
        <f t="shared" si="219"/>
        <v>6.17</v>
      </c>
      <c r="R92" s="102">
        <f t="shared" si="220"/>
        <v>71.42</v>
      </c>
      <c r="S92" s="102">
        <f t="shared" si="221"/>
        <v>77.59</v>
      </c>
      <c r="T92" s="410">
        <f t="shared" si="211"/>
        <v>0.25</v>
      </c>
      <c r="U92" s="408">
        <f t="shared" si="222"/>
        <v>96.99</v>
      </c>
      <c r="V92" s="171">
        <f>+S92/Resumo!$D$33</f>
        <v>1.8629952031054946E-4</v>
      </c>
      <c r="W92" s="104"/>
      <c r="X92" s="359"/>
      <c r="Y92" s="358"/>
    </row>
    <row r="93" spans="1:25" ht="30" x14ac:dyDescent="0.25">
      <c r="A93" s="524" t="s">
        <v>349</v>
      </c>
      <c r="B93" s="519" t="s">
        <v>94</v>
      </c>
      <c r="C93" s="519">
        <v>93670</v>
      </c>
      <c r="D93" s="559" t="s">
        <v>761</v>
      </c>
      <c r="E93" s="525" t="s">
        <v>46</v>
      </c>
      <c r="F93" s="399"/>
      <c r="G93" s="399"/>
      <c r="H93" s="588"/>
      <c r="I93" s="399">
        <v>0</v>
      </c>
      <c r="J93" s="399">
        <v>0</v>
      </c>
      <c r="K93" s="399">
        <v>0</v>
      </c>
      <c r="L93" s="588">
        <v>1</v>
      </c>
      <c r="M93" s="530">
        <f t="shared" si="206"/>
        <v>1</v>
      </c>
      <c r="N93" s="102">
        <v>6.17</v>
      </c>
      <c r="O93" s="102">
        <v>71.42</v>
      </c>
      <c r="P93" s="102">
        <f t="shared" si="218"/>
        <v>77.59</v>
      </c>
      <c r="Q93" s="102">
        <f t="shared" si="219"/>
        <v>6.17</v>
      </c>
      <c r="R93" s="102">
        <f t="shared" si="220"/>
        <v>71.42</v>
      </c>
      <c r="S93" s="102">
        <f t="shared" si="221"/>
        <v>77.59</v>
      </c>
      <c r="T93" s="410">
        <f t="shared" si="211"/>
        <v>0.25</v>
      </c>
      <c r="U93" s="408">
        <f t="shared" si="222"/>
        <v>96.99</v>
      </c>
      <c r="V93" s="171">
        <f>+S93/Resumo!$D$33</f>
        <v>1.8629952031054946E-4</v>
      </c>
      <c r="W93" s="104"/>
      <c r="X93" s="359"/>
      <c r="Y93" s="358"/>
    </row>
    <row r="94" spans="1:25" ht="30" x14ac:dyDescent="0.25">
      <c r="A94" s="524" t="s">
        <v>350</v>
      </c>
      <c r="B94" s="519" t="s">
        <v>94</v>
      </c>
      <c r="C94" s="519">
        <v>93671</v>
      </c>
      <c r="D94" s="559" t="s">
        <v>762</v>
      </c>
      <c r="E94" s="525" t="s">
        <v>46</v>
      </c>
      <c r="F94" s="399"/>
      <c r="G94" s="399"/>
      <c r="H94" s="588"/>
      <c r="I94" s="399">
        <v>0</v>
      </c>
      <c r="J94" s="399">
        <v>0</v>
      </c>
      <c r="K94" s="399">
        <v>0</v>
      </c>
      <c r="L94" s="588">
        <v>4</v>
      </c>
      <c r="M94" s="530">
        <f t="shared" si="206"/>
        <v>4</v>
      </c>
      <c r="N94" s="102">
        <v>8.49</v>
      </c>
      <c r="O94" s="102">
        <v>72.73</v>
      </c>
      <c r="P94" s="102">
        <f t="shared" si="218"/>
        <v>81.22</v>
      </c>
      <c r="Q94" s="102">
        <f t="shared" si="219"/>
        <v>33.96</v>
      </c>
      <c r="R94" s="102">
        <f t="shared" si="220"/>
        <v>290.92</v>
      </c>
      <c r="S94" s="102">
        <f t="shared" si="221"/>
        <v>324.88</v>
      </c>
      <c r="T94" s="410">
        <f t="shared" si="211"/>
        <v>0.25</v>
      </c>
      <c r="U94" s="408">
        <f t="shared" si="222"/>
        <v>406.1</v>
      </c>
      <c r="V94" s="171">
        <f>+S94/Resumo!$D$33</f>
        <v>7.8006171102579344E-4</v>
      </c>
      <c r="W94" s="104"/>
      <c r="X94" s="359"/>
      <c r="Y94" s="358"/>
    </row>
    <row r="95" spans="1:25" ht="30" x14ac:dyDescent="0.25">
      <c r="A95" s="524" t="s">
        <v>351</v>
      </c>
      <c r="B95" s="519" t="s">
        <v>94</v>
      </c>
      <c r="C95" s="519">
        <v>93673</v>
      </c>
      <c r="D95" s="559" t="s">
        <v>763</v>
      </c>
      <c r="E95" s="525" t="s">
        <v>46</v>
      </c>
      <c r="F95" s="399"/>
      <c r="G95" s="399"/>
      <c r="H95" s="588"/>
      <c r="I95" s="399">
        <v>0</v>
      </c>
      <c r="J95" s="399">
        <v>0</v>
      </c>
      <c r="K95" s="399">
        <v>0</v>
      </c>
      <c r="L95" s="588">
        <f t="shared" ref="L95:L124" si="223">SUM(I95:K95)</f>
        <v>0</v>
      </c>
      <c r="M95" s="530">
        <f t="shared" si="206"/>
        <v>0</v>
      </c>
      <c r="N95" s="102">
        <v>17.649999999999999</v>
      </c>
      <c r="O95" s="102">
        <v>76.47</v>
      </c>
      <c r="P95" s="102">
        <f t="shared" si="218"/>
        <v>94.12</v>
      </c>
      <c r="Q95" s="102">
        <f t="shared" si="219"/>
        <v>0</v>
      </c>
      <c r="R95" s="102">
        <f t="shared" si="220"/>
        <v>0</v>
      </c>
      <c r="S95" s="102">
        <f t="shared" si="221"/>
        <v>0</v>
      </c>
      <c r="T95" s="410">
        <f t="shared" si="211"/>
        <v>0.25</v>
      </c>
      <c r="U95" s="408">
        <f t="shared" si="222"/>
        <v>0</v>
      </c>
      <c r="V95" s="171">
        <f>+S95/Resumo!$D$33</f>
        <v>0</v>
      </c>
      <c r="W95" s="104"/>
      <c r="X95" s="359"/>
      <c r="Y95" s="358"/>
    </row>
    <row r="96" spans="1:25" ht="30" x14ac:dyDescent="0.25">
      <c r="A96" s="524" t="s">
        <v>352</v>
      </c>
      <c r="B96" s="519" t="s">
        <v>115</v>
      </c>
      <c r="C96" s="519" t="str">
        <f>A96</f>
        <v>2.9.1.14</v>
      </c>
      <c r="D96" s="559" t="s">
        <v>764</v>
      </c>
      <c r="E96" s="525" t="s">
        <v>46</v>
      </c>
      <c r="F96" s="399"/>
      <c r="G96" s="399"/>
      <c r="H96" s="588"/>
      <c r="I96" s="399">
        <v>0</v>
      </c>
      <c r="J96" s="399">
        <v>0</v>
      </c>
      <c r="K96" s="399">
        <v>0</v>
      </c>
      <c r="L96" s="588">
        <f t="shared" si="223"/>
        <v>0</v>
      </c>
      <c r="M96" s="530">
        <f t="shared" si="206"/>
        <v>0</v>
      </c>
      <c r="N96" s="102">
        <f>(ROUND(VLOOKUP(D96,Comp!$B$2:$M$23042,12,0),2))</f>
        <v>19.899999999999999</v>
      </c>
      <c r="O96" s="102">
        <f>ROUND(VLOOKUP(D96,Comp!$B$8:$M$23042,7,0),2)</f>
        <v>413.18</v>
      </c>
      <c r="P96" s="102">
        <f t="shared" si="218"/>
        <v>433.08</v>
      </c>
      <c r="Q96" s="102">
        <f t="shared" si="219"/>
        <v>0</v>
      </c>
      <c r="R96" s="102">
        <f t="shared" si="220"/>
        <v>0</v>
      </c>
      <c r="S96" s="102">
        <f t="shared" si="221"/>
        <v>0</v>
      </c>
      <c r="T96" s="410">
        <f t="shared" si="211"/>
        <v>0.25</v>
      </c>
      <c r="U96" s="408">
        <f t="shared" si="222"/>
        <v>0</v>
      </c>
      <c r="V96" s="171">
        <f>+S96/Resumo!$D$33</f>
        <v>0</v>
      </c>
      <c r="W96" s="104"/>
      <c r="X96" s="359"/>
      <c r="Y96" s="358"/>
    </row>
    <row r="97" spans="1:25" ht="30" x14ac:dyDescent="0.25">
      <c r="A97" s="524" t="s">
        <v>353</v>
      </c>
      <c r="B97" s="519" t="s">
        <v>115</v>
      </c>
      <c r="C97" s="519" t="str">
        <f>A97</f>
        <v>2.9.1.15</v>
      </c>
      <c r="D97" s="559" t="s">
        <v>765</v>
      </c>
      <c r="E97" s="525" t="s">
        <v>46</v>
      </c>
      <c r="F97" s="399"/>
      <c r="G97" s="399"/>
      <c r="H97" s="588"/>
      <c r="I97" s="399">
        <v>0</v>
      </c>
      <c r="J97" s="399">
        <v>0</v>
      </c>
      <c r="K97" s="399">
        <v>0</v>
      </c>
      <c r="L97" s="588">
        <v>3</v>
      </c>
      <c r="M97" s="530">
        <f t="shared" si="206"/>
        <v>3</v>
      </c>
      <c r="N97" s="102">
        <f>(ROUND(VLOOKUP(D97,Comp!$B$2:$M$23042,12,0),2))</f>
        <v>19.899999999999999</v>
      </c>
      <c r="O97" s="102">
        <f>ROUND(VLOOKUP(D97,Comp!$B$8:$M$23042,7,0),2)</f>
        <v>1343.71</v>
      </c>
      <c r="P97" s="102">
        <f t="shared" ref="P97:P103" si="224">+ROUND(N97+O97,2)</f>
        <v>1363.61</v>
      </c>
      <c r="Q97" s="102">
        <f t="shared" ref="Q97:Q103" si="225">ROUND(N97*M97,2)</f>
        <v>59.7</v>
      </c>
      <c r="R97" s="102">
        <f t="shared" ref="R97:R103" si="226">ROUND(O97*M97,2)</f>
        <v>4031.13</v>
      </c>
      <c r="S97" s="102">
        <f t="shared" ref="S97:S103" si="227">ROUND(P97*M97,2)</f>
        <v>4090.83</v>
      </c>
      <c r="T97" s="410">
        <f t="shared" si="211"/>
        <v>0.25</v>
      </c>
      <c r="U97" s="408">
        <f t="shared" ref="U97:U103" si="228">ROUND(S97*(1+T97),2)</f>
        <v>5113.54</v>
      </c>
      <c r="V97" s="171">
        <f>+S97/Resumo!$D$33</f>
        <v>9.8223954977703972E-3</v>
      </c>
      <c r="W97" s="104"/>
      <c r="X97" s="359"/>
      <c r="Y97" s="358"/>
    </row>
    <row r="98" spans="1:25" ht="30" x14ac:dyDescent="0.25">
      <c r="A98" s="524" t="s">
        <v>354</v>
      </c>
      <c r="B98" s="519" t="s">
        <v>115</v>
      </c>
      <c r="C98" s="519" t="str">
        <f>A98</f>
        <v>2.9.1.16</v>
      </c>
      <c r="D98" s="559" t="s">
        <v>766</v>
      </c>
      <c r="E98" s="525" t="s">
        <v>46</v>
      </c>
      <c r="F98" s="399"/>
      <c r="G98" s="399"/>
      <c r="H98" s="588"/>
      <c r="I98" s="399">
        <v>0</v>
      </c>
      <c r="J98" s="399">
        <v>0</v>
      </c>
      <c r="K98" s="399">
        <v>0</v>
      </c>
      <c r="L98" s="588">
        <v>2</v>
      </c>
      <c r="M98" s="530">
        <f t="shared" si="206"/>
        <v>2</v>
      </c>
      <c r="N98" s="102">
        <f>(ROUND(VLOOKUP(D98,Comp!$B$2:$M$23042,12,0),2))</f>
        <v>9.94</v>
      </c>
      <c r="O98" s="102">
        <f>ROUND(VLOOKUP(D98,Comp!$B$8:$M$23042,7,0),2)</f>
        <v>145.04</v>
      </c>
      <c r="P98" s="102">
        <f t="shared" si="224"/>
        <v>154.97999999999999</v>
      </c>
      <c r="Q98" s="102">
        <f t="shared" si="225"/>
        <v>19.88</v>
      </c>
      <c r="R98" s="102">
        <f t="shared" si="226"/>
        <v>290.08</v>
      </c>
      <c r="S98" s="102">
        <f t="shared" si="227"/>
        <v>309.95999999999998</v>
      </c>
      <c r="T98" s="410">
        <f t="shared" si="211"/>
        <v>0.25</v>
      </c>
      <c r="U98" s="408">
        <f t="shared" si="228"/>
        <v>387.45</v>
      </c>
      <c r="V98" s="171">
        <f>+S98/Resumo!$D$33</f>
        <v>7.4423765066964698E-4</v>
      </c>
      <c r="W98" s="104"/>
      <c r="X98" s="359"/>
      <c r="Y98" s="358"/>
    </row>
    <row r="99" spans="1:25" ht="30" x14ac:dyDescent="0.25">
      <c r="A99" s="524" t="s">
        <v>355</v>
      </c>
      <c r="B99" s="519" t="s">
        <v>115</v>
      </c>
      <c r="C99" s="519" t="str">
        <f>A99</f>
        <v>2.9.1.17</v>
      </c>
      <c r="D99" s="559" t="s">
        <v>767</v>
      </c>
      <c r="E99" s="525" t="s">
        <v>46</v>
      </c>
      <c r="F99" s="399"/>
      <c r="G99" s="399"/>
      <c r="H99" s="588"/>
      <c r="I99" s="399">
        <v>0</v>
      </c>
      <c r="J99" s="399">
        <v>0</v>
      </c>
      <c r="K99" s="399">
        <v>0</v>
      </c>
      <c r="L99" s="588">
        <v>9</v>
      </c>
      <c r="M99" s="530">
        <f t="shared" si="206"/>
        <v>9</v>
      </c>
      <c r="N99" s="102">
        <f>(ROUND(VLOOKUP(D99,Comp!$B$2:$M$23042,12,0),2))</f>
        <v>9.94</v>
      </c>
      <c r="O99" s="102">
        <f>ROUND(VLOOKUP(D99,Comp!$B$8:$M$23042,7,0),2)</f>
        <v>70.48</v>
      </c>
      <c r="P99" s="102">
        <f t="shared" si="224"/>
        <v>80.42</v>
      </c>
      <c r="Q99" s="102">
        <f t="shared" si="225"/>
        <v>89.46</v>
      </c>
      <c r="R99" s="102">
        <f t="shared" si="226"/>
        <v>634.32000000000005</v>
      </c>
      <c r="S99" s="102">
        <f t="shared" si="227"/>
        <v>723.78</v>
      </c>
      <c r="T99" s="410">
        <f t="shared" si="211"/>
        <v>0.25</v>
      </c>
      <c r="U99" s="408">
        <f t="shared" si="228"/>
        <v>904.73</v>
      </c>
      <c r="V99" s="171">
        <f>+S99/Resumo!$D$33</f>
        <v>1.73785109950212E-3</v>
      </c>
      <c r="W99" s="104"/>
      <c r="X99" s="359"/>
      <c r="Y99" s="358"/>
    </row>
    <row r="100" spans="1:25" x14ac:dyDescent="0.25">
      <c r="A100" s="524" t="s">
        <v>356</v>
      </c>
      <c r="B100" s="519" t="s">
        <v>94</v>
      </c>
      <c r="C100" s="519">
        <v>91996</v>
      </c>
      <c r="D100" s="559" t="s">
        <v>426</v>
      </c>
      <c r="E100" s="525" t="s">
        <v>46</v>
      </c>
      <c r="F100" s="399"/>
      <c r="G100" s="399"/>
      <c r="H100" s="588"/>
      <c r="I100" s="399">
        <v>0</v>
      </c>
      <c r="J100" s="399">
        <v>0</v>
      </c>
      <c r="K100" s="399">
        <v>0</v>
      </c>
      <c r="L100" s="588">
        <f t="shared" si="223"/>
        <v>0</v>
      </c>
      <c r="M100" s="530">
        <f t="shared" si="206"/>
        <v>0</v>
      </c>
      <c r="N100" s="102">
        <v>11.86</v>
      </c>
      <c r="O100" s="102">
        <v>14.83</v>
      </c>
      <c r="P100" s="102">
        <f t="shared" si="224"/>
        <v>26.69</v>
      </c>
      <c r="Q100" s="102">
        <f t="shared" si="225"/>
        <v>0</v>
      </c>
      <c r="R100" s="102">
        <f t="shared" si="226"/>
        <v>0</v>
      </c>
      <c r="S100" s="102">
        <f t="shared" si="227"/>
        <v>0</v>
      </c>
      <c r="T100" s="410">
        <f t="shared" si="211"/>
        <v>0.25</v>
      </c>
      <c r="U100" s="408">
        <f t="shared" si="228"/>
        <v>0</v>
      </c>
      <c r="V100" s="171">
        <f>+S100/Resumo!$D$33</f>
        <v>0</v>
      </c>
      <c r="W100" s="104"/>
      <c r="X100" s="359"/>
      <c r="Y100" s="358"/>
    </row>
    <row r="101" spans="1:25" x14ac:dyDescent="0.25">
      <c r="A101" s="524" t="s">
        <v>357</v>
      </c>
      <c r="B101" s="519" t="s">
        <v>94</v>
      </c>
      <c r="C101" s="519">
        <v>91953</v>
      </c>
      <c r="D101" s="559" t="s">
        <v>427</v>
      </c>
      <c r="E101" s="525" t="s">
        <v>46</v>
      </c>
      <c r="F101" s="399"/>
      <c r="G101" s="399"/>
      <c r="H101" s="588"/>
      <c r="I101" s="399">
        <v>0</v>
      </c>
      <c r="J101" s="399">
        <v>0</v>
      </c>
      <c r="K101" s="399">
        <v>0</v>
      </c>
      <c r="L101" s="588">
        <v>6</v>
      </c>
      <c r="M101" s="530">
        <f t="shared" si="206"/>
        <v>6</v>
      </c>
      <c r="N101" s="102">
        <v>9.2799999999999994</v>
      </c>
      <c r="O101" s="102">
        <v>13.21</v>
      </c>
      <c r="P101" s="102">
        <f t="shared" si="224"/>
        <v>22.49</v>
      </c>
      <c r="Q101" s="102">
        <f t="shared" si="225"/>
        <v>55.68</v>
      </c>
      <c r="R101" s="102">
        <f t="shared" si="226"/>
        <v>79.260000000000005</v>
      </c>
      <c r="S101" s="102">
        <f t="shared" si="227"/>
        <v>134.94</v>
      </c>
      <c r="T101" s="410">
        <f t="shared" si="211"/>
        <v>0.25</v>
      </c>
      <c r="U101" s="408">
        <f t="shared" si="228"/>
        <v>168.68</v>
      </c>
      <c r="V101" s="171">
        <f>+S101/Resumo!$D$33</f>
        <v>3.2400125365002636E-4</v>
      </c>
      <c r="W101" s="104"/>
      <c r="X101" s="359"/>
      <c r="Y101" s="358"/>
    </row>
    <row r="102" spans="1:25" x14ac:dyDescent="0.25">
      <c r="A102" s="524" t="s">
        <v>358</v>
      </c>
      <c r="B102" s="519" t="s">
        <v>94</v>
      </c>
      <c r="C102" s="519">
        <v>91959</v>
      </c>
      <c r="D102" s="559" t="s">
        <v>428</v>
      </c>
      <c r="E102" s="525" t="s">
        <v>46</v>
      </c>
      <c r="F102" s="399"/>
      <c r="G102" s="399"/>
      <c r="H102" s="588"/>
      <c r="I102" s="399">
        <v>0</v>
      </c>
      <c r="J102" s="399">
        <v>0</v>
      </c>
      <c r="K102" s="399">
        <v>0</v>
      </c>
      <c r="L102" s="588">
        <v>2</v>
      </c>
      <c r="M102" s="530">
        <f t="shared" si="206"/>
        <v>2</v>
      </c>
      <c r="N102" s="102">
        <v>14.4</v>
      </c>
      <c r="O102" s="102">
        <v>21.19</v>
      </c>
      <c r="P102" s="102">
        <f t="shared" si="224"/>
        <v>35.590000000000003</v>
      </c>
      <c r="Q102" s="102">
        <f t="shared" si="225"/>
        <v>28.8</v>
      </c>
      <c r="R102" s="102">
        <f t="shared" si="226"/>
        <v>42.38</v>
      </c>
      <c r="S102" s="102">
        <f t="shared" si="227"/>
        <v>71.180000000000007</v>
      </c>
      <c r="T102" s="410">
        <f t="shared" si="211"/>
        <v>0.25</v>
      </c>
      <c r="U102" s="408">
        <f t="shared" si="228"/>
        <v>88.98</v>
      </c>
      <c r="V102" s="171">
        <f>+S102/Resumo!$D$33</f>
        <v>1.7090862038542226E-4</v>
      </c>
      <c r="W102" s="104"/>
      <c r="X102" s="359"/>
      <c r="Y102" s="358"/>
    </row>
    <row r="103" spans="1:25" x14ac:dyDescent="0.25">
      <c r="A103" s="524" t="s">
        <v>359</v>
      </c>
      <c r="B103" s="519" t="s">
        <v>94</v>
      </c>
      <c r="C103" s="519">
        <v>91967</v>
      </c>
      <c r="D103" s="559" t="s">
        <v>440</v>
      </c>
      <c r="E103" s="525" t="s">
        <v>46</v>
      </c>
      <c r="F103" s="399"/>
      <c r="G103" s="399"/>
      <c r="H103" s="588"/>
      <c r="I103" s="399">
        <v>0</v>
      </c>
      <c r="J103" s="399">
        <v>0</v>
      </c>
      <c r="K103" s="399">
        <v>0</v>
      </c>
      <c r="L103" s="588">
        <v>3</v>
      </c>
      <c r="M103" s="530">
        <f t="shared" si="206"/>
        <v>3</v>
      </c>
      <c r="N103" s="102">
        <v>19.55</v>
      </c>
      <c r="O103" s="102">
        <v>29.14</v>
      </c>
      <c r="P103" s="102">
        <f t="shared" si="224"/>
        <v>48.69</v>
      </c>
      <c r="Q103" s="102">
        <f t="shared" si="225"/>
        <v>58.65</v>
      </c>
      <c r="R103" s="102">
        <f t="shared" si="226"/>
        <v>87.42</v>
      </c>
      <c r="S103" s="102">
        <f t="shared" si="227"/>
        <v>146.07</v>
      </c>
      <c r="T103" s="410">
        <f t="shared" si="211"/>
        <v>0.25</v>
      </c>
      <c r="U103" s="408">
        <f t="shared" si="228"/>
        <v>182.59</v>
      </c>
      <c r="V103" s="171">
        <f>+S103/Resumo!$D$33</f>
        <v>3.5072523433125349E-4</v>
      </c>
      <c r="W103" s="104"/>
      <c r="X103" s="359">
        <v>5</v>
      </c>
      <c r="Y103" s="358">
        <f t="shared" ref="Y103:Y129" si="229">X103-M103</f>
        <v>2</v>
      </c>
    </row>
    <row r="104" spans="1:25" ht="30" x14ac:dyDescent="0.25">
      <c r="A104" s="524" t="s">
        <v>360</v>
      </c>
      <c r="B104" s="519" t="s">
        <v>94</v>
      </c>
      <c r="C104" s="519">
        <v>91926</v>
      </c>
      <c r="D104" s="559" t="s">
        <v>429</v>
      </c>
      <c r="E104" s="525" t="s">
        <v>58</v>
      </c>
      <c r="F104" s="399"/>
      <c r="G104" s="399"/>
      <c r="H104" s="588"/>
      <c r="I104" s="399">
        <v>0</v>
      </c>
      <c r="J104" s="399">
        <v>0</v>
      </c>
      <c r="K104" s="399">
        <v>0</v>
      </c>
      <c r="L104" s="588">
        <v>610</v>
      </c>
      <c r="M104" s="530">
        <f t="shared" si="206"/>
        <v>610</v>
      </c>
      <c r="N104" s="102">
        <v>0.92</v>
      </c>
      <c r="O104" s="102">
        <v>3.12</v>
      </c>
      <c r="P104" s="102">
        <f t="shared" si="207"/>
        <v>4.04</v>
      </c>
      <c r="Q104" s="102">
        <f t="shared" si="208"/>
        <v>561.20000000000005</v>
      </c>
      <c r="R104" s="102">
        <f t="shared" si="209"/>
        <v>1903.2</v>
      </c>
      <c r="S104" s="102">
        <f t="shared" si="210"/>
        <v>2464.4</v>
      </c>
      <c r="T104" s="410">
        <f t="shared" si="211"/>
        <v>0.25</v>
      </c>
      <c r="U104" s="408">
        <f t="shared" si="212"/>
        <v>3080.5</v>
      </c>
      <c r="V104" s="171">
        <f>+S104/Resumo!$D$33</f>
        <v>5.9172127574857345E-3</v>
      </c>
      <c r="W104" s="104"/>
      <c r="X104" s="359"/>
      <c r="Y104" s="358"/>
    </row>
    <row r="105" spans="1:25" ht="30" x14ac:dyDescent="0.25">
      <c r="A105" s="524" t="s">
        <v>361</v>
      </c>
      <c r="B105" s="519" t="s">
        <v>94</v>
      </c>
      <c r="C105" s="519">
        <v>91928</v>
      </c>
      <c r="D105" s="559" t="s">
        <v>430</v>
      </c>
      <c r="E105" s="525" t="s">
        <v>58</v>
      </c>
      <c r="F105" s="399"/>
      <c r="G105" s="399"/>
      <c r="H105" s="588"/>
      <c r="I105" s="399">
        <v>0</v>
      </c>
      <c r="J105" s="399">
        <v>0</v>
      </c>
      <c r="K105" s="399">
        <v>0</v>
      </c>
      <c r="L105" s="588">
        <v>2340</v>
      </c>
      <c r="M105" s="530">
        <f t="shared" si="206"/>
        <v>2340</v>
      </c>
      <c r="N105" s="102">
        <v>1.23</v>
      </c>
      <c r="O105" s="102">
        <v>5.45</v>
      </c>
      <c r="P105" s="102">
        <f t="shared" si="207"/>
        <v>6.68</v>
      </c>
      <c r="Q105" s="102">
        <f t="shared" si="208"/>
        <v>2878.2</v>
      </c>
      <c r="R105" s="102">
        <f t="shared" si="209"/>
        <v>12753</v>
      </c>
      <c r="S105" s="102">
        <f t="shared" si="210"/>
        <v>15631.2</v>
      </c>
      <c r="T105" s="410">
        <f t="shared" si="211"/>
        <v>0.25</v>
      </c>
      <c r="U105" s="408">
        <f t="shared" si="212"/>
        <v>19539</v>
      </c>
      <c r="V105" s="171">
        <f>+S105/Resumo!$D$33</f>
        <v>3.7531705914141782E-2</v>
      </c>
      <c r="W105" s="104"/>
      <c r="X105" s="359"/>
      <c r="Y105" s="358"/>
    </row>
    <row r="106" spans="1:25" ht="30" x14ac:dyDescent="0.25">
      <c r="A106" s="524" t="s">
        <v>362</v>
      </c>
      <c r="B106" s="519" t="s">
        <v>94</v>
      </c>
      <c r="C106" s="519">
        <v>91930</v>
      </c>
      <c r="D106" s="559" t="s">
        <v>780</v>
      </c>
      <c r="E106" s="525" t="s">
        <v>58</v>
      </c>
      <c r="F106" s="399"/>
      <c r="G106" s="399"/>
      <c r="H106" s="588"/>
      <c r="I106" s="399">
        <v>0</v>
      </c>
      <c r="J106" s="399">
        <v>0</v>
      </c>
      <c r="K106" s="399">
        <v>0</v>
      </c>
      <c r="L106" s="588">
        <f t="shared" si="223"/>
        <v>0</v>
      </c>
      <c r="M106" s="530">
        <f t="shared" si="206"/>
        <v>0</v>
      </c>
      <c r="N106" s="102">
        <v>1.61</v>
      </c>
      <c r="O106" s="102">
        <v>7.57</v>
      </c>
      <c r="P106" s="102">
        <f t="shared" ref="P106:P108" si="230">+ROUND(N106+O106,2)</f>
        <v>9.18</v>
      </c>
      <c r="Q106" s="102">
        <f t="shared" ref="Q106:Q108" si="231">ROUND(N106*M106,2)</f>
        <v>0</v>
      </c>
      <c r="R106" s="102">
        <f t="shared" ref="R106:R108" si="232">ROUND(O106*M106,2)</f>
        <v>0</v>
      </c>
      <c r="S106" s="102">
        <f t="shared" ref="S106:S108" si="233">ROUND(P106*M106,2)</f>
        <v>0</v>
      </c>
      <c r="T106" s="410">
        <f t="shared" si="211"/>
        <v>0.25</v>
      </c>
      <c r="U106" s="408">
        <f t="shared" ref="U106:U108" si="234">ROUND(S106*(1+T106),2)</f>
        <v>0</v>
      </c>
      <c r="V106" s="171">
        <f>+S106/Resumo!$D$33</f>
        <v>0</v>
      </c>
      <c r="W106" s="104"/>
      <c r="X106" s="359"/>
      <c r="Y106" s="358"/>
    </row>
    <row r="107" spans="1:25" ht="90" x14ac:dyDescent="0.25">
      <c r="A107" s="524" t="s">
        <v>363</v>
      </c>
      <c r="B107" s="519" t="s">
        <v>115</v>
      </c>
      <c r="C107" s="519" t="str">
        <f>A107</f>
        <v>2.9.1.25</v>
      </c>
      <c r="D107" s="559" t="s">
        <v>557</v>
      </c>
      <c r="E107" s="525" t="s">
        <v>46</v>
      </c>
      <c r="F107" s="399"/>
      <c r="G107" s="399"/>
      <c r="H107" s="588"/>
      <c r="I107" s="399">
        <v>0</v>
      </c>
      <c r="J107" s="399">
        <v>0</v>
      </c>
      <c r="K107" s="399">
        <v>0</v>
      </c>
      <c r="L107" s="588">
        <v>20</v>
      </c>
      <c r="M107" s="530">
        <f t="shared" si="206"/>
        <v>20</v>
      </c>
      <c r="N107" s="102">
        <f>(ROUND(VLOOKUP(D107,Comp!$B$2:$M$23042,12,0),2))</f>
        <v>27.09</v>
      </c>
      <c r="O107" s="102">
        <f>ROUND(VLOOKUP(D107,Comp!$B$8:$M$23042,7,0),2)</f>
        <v>183.76</v>
      </c>
      <c r="P107" s="102">
        <f t="shared" si="230"/>
        <v>210.85</v>
      </c>
      <c r="Q107" s="102">
        <f t="shared" si="231"/>
        <v>541.79999999999995</v>
      </c>
      <c r="R107" s="102">
        <f t="shared" si="232"/>
        <v>3675.2</v>
      </c>
      <c r="S107" s="102">
        <f t="shared" si="233"/>
        <v>4217</v>
      </c>
      <c r="T107" s="410">
        <f t="shared" si="211"/>
        <v>0.25</v>
      </c>
      <c r="U107" s="408">
        <f t="shared" si="234"/>
        <v>5271.25</v>
      </c>
      <c r="V107" s="171">
        <f>+S107/Resumo!$D$33</f>
        <v>1.0125339311117245E-2</v>
      </c>
      <c r="W107" s="104"/>
      <c r="X107" s="359"/>
      <c r="Y107" s="358"/>
    </row>
    <row r="108" spans="1:25" ht="30" x14ac:dyDescent="0.25">
      <c r="A108" s="524" t="s">
        <v>364</v>
      </c>
      <c r="B108" s="519" t="s">
        <v>115</v>
      </c>
      <c r="C108" s="519" t="str">
        <f>A108</f>
        <v>2.9.1.26</v>
      </c>
      <c r="D108" s="559" t="s">
        <v>441</v>
      </c>
      <c r="E108" s="525" t="s">
        <v>46</v>
      </c>
      <c r="F108" s="399"/>
      <c r="G108" s="399"/>
      <c r="H108" s="588"/>
      <c r="I108" s="399">
        <v>0</v>
      </c>
      <c r="J108" s="399">
        <v>0</v>
      </c>
      <c r="K108" s="399">
        <v>0</v>
      </c>
      <c r="L108" s="588">
        <v>21</v>
      </c>
      <c r="M108" s="530">
        <f t="shared" si="206"/>
        <v>21</v>
      </c>
      <c r="N108" s="102">
        <f>(ROUND(VLOOKUP(D108,Comp!$B$2:$M$23042,12,0),2))</f>
        <v>28.02</v>
      </c>
      <c r="O108" s="102">
        <f>ROUND(VLOOKUP(D108,Comp!$B$8:$M$23042,7,0),2)</f>
        <v>0.54</v>
      </c>
      <c r="P108" s="102">
        <f t="shared" si="230"/>
        <v>28.56</v>
      </c>
      <c r="Q108" s="102">
        <f t="shared" si="231"/>
        <v>588.41999999999996</v>
      </c>
      <c r="R108" s="102">
        <f t="shared" si="232"/>
        <v>11.34</v>
      </c>
      <c r="S108" s="102">
        <f t="shared" si="233"/>
        <v>599.76</v>
      </c>
      <c r="T108" s="410">
        <f t="shared" si="211"/>
        <v>0.25</v>
      </c>
      <c r="U108" s="408">
        <f t="shared" si="234"/>
        <v>749.7</v>
      </c>
      <c r="V108" s="171">
        <f>+S108/Resumo!$D$33</f>
        <v>1.4400696004827317E-3</v>
      </c>
      <c r="W108" s="104"/>
      <c r="X108" s="359"/>
      <c r="Y108" s="358"/>
    </row>
    <row r="109" spans="1:25" ht="45" x14ac:dyDescent="0.25">
      <c r="A109" s="524" t="s">
        <v>624</v>
      </c>
      <c r="B109" s="519" t="s">
        <v>94</v>
      </c>
      <c r="C109" s="519">
        <v>100903</v>
      </c>
      <c r="D109" s="559" t="s">
        <v>442</v>
      </c>
      <c r="E109" s="525" t="s">
        <v>46</v>
      </c>
      <c r="F109" s="399"/>
      <c r="G109" s="399"/>
      <c r="H109" s="588"/>
      <c r="I109" s="399">
        <v>0</v>
      </c>
      <c r="J109" s="399">
        <v>0</v>
      </c>
      <c r="K109" s="399">
        <v>0</v>
      </c>
      <c r="L109" s="588">
        <v>82</v>
      </c>
      <c r="M109" s="530">
        <f t="shared" si="206"/>
        <v>82</v>
      </c>
      <c r="N109" s="102">
        <v>5.85</v>
      </c>
      <c r="O109" s="102">
        <v>25.82</v>
      </c>
      <c r="P109" s="102">
        <f t="shared" si="207"/>
        <v>31.67</v>
      </c>
      <c r="Q109" s="102">
        <f t="shared" si="208"/>
        <v>479.7</v>
      </c>
      <c r="R109" s="102">
        <f t="shared" si="209"/>
        <v>2117.2399999999998</v>
      </c>
      <c r="S109" s="102">
        <f t="shared" si="210"/>
        <v>2596.94</v>
      </c>
      <c r="T109" s="410">
        <f t="shared" si="211"/>
        <v>0.25</v>
      </c>
      <c r="U109" s="408">
        <f t="shared" si="212"/>
        <v>3246.18</v>
      </c>
      <c r="V109" s="171">
        <f>+S109/Resumo!$D$33</f>
        <v>6.2354514277004553E-3</v>
      </c>
      <c r="W109" s="104"/>
      <c r="X109" s="359"/>
      <c r="Y109" s="358"/>
    </row>
    <row r="110" spans="1:25" ht="90" x14ac:dyDescent="0.25">
      <c r="A110" s="524" t="s">
        <v>625</v>
      </c>
      <c r="B110" s="519" t="s">
        <v>115</v>
      </c>
      <c r="C110" s="519" t="str">
        <f>A110</f>
        <v>2.9.1.28</v>
      </c>
      <c r="D110" s="559" t="s">
        <v>898</v>
      </c>
      <c r="E110" s="525" t="s">
        <v>46</v>
      </c>
      <c r="F110" s="399"/>
      <c r="G110" s="399"/>
      <c r="H110" s="588"/>
      <c r="I110" s="399">
        <v>0</v>
      </c>
      <c r="J110" s="399">
        <v>0</v>
      </c>
      <c r="K110" s="399">
        <v>0</v>
      </c>
      <c r="L110" s="588">
        <v>3</v>
      </c>
      <c r="M110" s="530">
        <f t="shared" si="206"/>
        <v>3</v>
      </c>
      <c r="N110" s="102">
        <f>(ROUND(VLOOKUP(D110,Comp!$B$2:$M$23042,12,0),2))</f>
        <v>318.24</v>
      </c>
      <c r="O110" s="102">
        <f>ROUND(VLOOKUP(D110,Comp!$B$8:$M$23042,7,0),2)</f>
        <v>9439.5</v>
      </c>
      <c r="P110" s="102">
        <f t="shared" ref="P110:P113" si="235">+ROUND(N110+O110,2)</f>
        <v>9757.74</v>
      </c>
      <c r="Q110" s="102">
        <f t="shared" ref="Q110:Q113" si="236">ROUND(N110*M110,2)</f>
        <v>954.72</v>
      </c>
      <c r="R110" s="102">
        <f t="shared" ref="R110:R113" si="237">ROUND(O110*M110,2)</f>
        <v>28318.5</v>
      </c>
      <c r="S110" s="102">
        <f t="shared" ref="S110:S113" si="238">ROUND(P110*M110,2)</f>
        <v>29273.22</v>
      </c>
      <c r="T110" s="410">
        <f t="shared" si="211"/>
        <v>0.25</v>
      </c>
      <c r="U110" s="408">
        <f t="shared" ref="U110:U113" si="239">ROUND(S110*(1+T110),2)</f>
        <v>36591.53</v>
      </c>
      <c r="V110" s="171">
        <f>+S110/Resumo!$D$33</f>
        <v>7.0287238612516859E-2</v>
      </c>
      <c r="W110" s="104"/>
      <c r="X110" s="359"/>
      <c r="Y110" s="358"/>
    </row>
    <row r="111" spans="1:25" ht="75" x14ac:dyDescent="0.25">
      <c r="A111" s="524" t="s">
        <v>768</v>
      </c>
      <c r="B111" s="519" t="s">
        <v>115</v>
      </c>
      <c r="C111" s="519" t="str">
        <f>A111</f>
        <v>2.9.1.29</v>
      </c>
      <c r="D111" s="559" t="s">
        <v>899</v>
      </c>
      <c r="E111" s="525" t="s">
        <v>46</v>
      </c>
      <c r="F111" s="399"/>
      <c r="G111" s="399"/>
      <c r="H111" s="588"/>
      <c r="I111" s="399">
        <v>0</v>
      </c>
      <c r="J111" s="399">
        <v>0</v>
      </c>
      <c r="K111" s="399">
        <v>0</v>
      </c>
      <c r="L111" s="588">
        <f t="shared" si="223"/>
        <v>0</v>
      </c>
      <c r="M111" s="530">
        <f t="shared" si="206"/>
        <v>0</v>
      </c>
      <c r="N111" s="102">
        <f>(ROUND(VLOOKUP(D111,Comp!$B$2:$M$23042,12,0),2))</f>
        <v>318.24</v>
      </c>
      <c r="O111" s="102">
        <f>ROUND(VLOOKUP(D111,Comp!$B$8:$M$23042,7,0),2)</f>
        <v>7969.5</v>
      </c>
      <c r="P111" s="102">
        <f t="shared" si="235"/>
        <v>8287.74</v>
      </c>
      <c r="Q111" s="102">
        <f t="shared" si="236"/>
        <v>0</v>
      </c>
      <c r="R111" s="102">
        <f t="shared" si="237"/>
        <v>0</v>
      </c>
      <c r="S111" s="102">
        <f t="shared" si="238"/>
        <v>0</v>
      </c>
      <c r="T111" s="410">
        <f t="shared" si="211"/>
        <v>0.25</v>
      </c>
      <c r="U111" s="408">
        <f t="shared" si="239"/>
        <v>0</v>
      </c>
      <c r="V111" s="171">
        <f>+S111/Resumo!$D$33</f>
        <v>0</v>
      </c>
      <c r="W111" s="104"/>
      <c r="X111" s="359"/>
      <c r="Y111" s="358"/>
    </row>
    <row r="112" spans="1:25" ht="75" x14ac:dyDescent="0.25">
      <c r="A112" s="524" t="s">
        <v>769</v>
      </c>
      <c r="B112" s="519" t="s">
        <v>115</v>
      </c>
      <c r="C112" s="519" t="str">
        <f>A112</f>
        <v>2.9.1.30</v>
      </c>
      <c r="D112" s="559" t="s">
        <v>900</v>
      </c>
      <c r="E112" s="525" t="s">
        <v>46</v>
      </c>
      <c r="F112" s="399"/>
      <c r="G112" s="399"/>
      <c r="H112" s="588"/>
      <c r="I112" s="399">
        <v>0</v>
      </c>
      <c r="J112" s="399">
        <v>0</v>
      </c>
      <c r="K112" s="399">
        <v>0</v>
      </c>
      <c r="L112" s="588">
        <f t="shared" si="223"/>
        <v>0</v>
      </c>
      <c r="M112" s="530">
        <f t="shared" si="206"/>
        <v>0</v>
      </c>
      <c r="N112" s="102">
        <f>(ROUND(VLOOKUP(D112,Comp!$B$2:$M$23042,12,0),2))</f>
        <v>318.24</v>
      </c>
      <c r="O112" s="102">
        <f>ROUND(VLOOKUP(D112,Comp!$B$8:$M$23042,7,0),2)</f>
        <v>3139.5</v>
      </c>
      <c r="P112" s="102">
        <f t="shared" si="235"/>
        <v>3457.74</v>
      </c>
      <c r="Q112" s="102">
        <f t="shared" si="236"/>
        <v>0</v>
      </c>
      <c r="R112" s="102">
        <f t="shared" si="237"/>
        <v>0</v>
      </c>
      <c r="S112" s="102">
        <f t="shared" si="238"/>
        <v>0</v>
      </c>
      <c r="T112" s="410">
        <f t="shared" si="211"/>
        <v>0.25</v>
      </c>
      <c r="U112" s="408">
        <f t="shared" si="239"/>
        <v>0</v>
      </c>
      <c r="V112" s="171">
        <f>+S112/Resumo!$D$33</f>
        <v>0</v>
      </c>
      <c r="W112" s="104"/>
      <c r="X112" s="359"/>
      <c r="Y112" s="358"/>
    </row>
    <row r="113" spans="1:25" ht="90" x14ac:dyDescent="0.25">
      <c r="A113" s="524" t="s">
        <v>770</v>
      </c>
      <c r="B113" s="519" t="s">
        <v>115</v>
      </c>
      <c r="C113" s="519" t="str">
        <f>A113</f>
        <v>2.9.1.31</v>
      </c>
      <c r="D113" s="559" t="s">
        <v>901</v>
      </c>
      <c r="E113" s="525" t="s">
        <v>46</v>
      </c>
      <c r="F113" s="399"/>
      <c r="G113" s="399"/>
      <c r="H113" s="588"/>
      <c r="I113" s="399">
        <v>0</v>
      </c>
      <c r="J113" s="399">
        <v>0</v>
      </c>
      <c r="K113" s="399">
        <v>0</v>
      </c>
      <c r="L113" s="588">
        <f t="shared" si="223"/>
        <v>0</v>
      </c>
      <c r="M113" s="530">
        <f t="shared" si="206"/>
        <v>0</v>
      </c>
      <c r="N113" s="102">
        <f>(ROUND(VLOOKUP(D113,Comp!$B$2:$M$23042,12,0),2))</f>
        <v>318.24</v>
      </c>
      <c r="O113" s="102">
        <f>ROUND(VLOOKUP(D113,Comp!$B$8:$M$23042,7,0),2)</f>
        <v>9019.5</v>
      </c>
      <c r="P113" s="102">
        <f t="shared" si="235"/>
        <v>9337.74</v>
      </c>
      <c r="Q113" s="102">
        <f t="shared" si="236"/>
        <v>0</v>
      </c>
      <c r="R113" s="102">
        <f t="shared" si="237"/>
        <v>0</v>
      </c>
      <c r="S113" s="102">
        <f t="shared" si="238"/>
        <v>0</v>
      </c>
      <c r="T113" s="410">
        <f t="shared" si="211"/>
        <v>0.25</v>
      </c>
      <c r="U113" s="408">
        <f t="shared" si="239"/>
        <v>0</v>
      </c>
      <c r="V113" s="171">
        <f>+S113/Resumo!$D$33</f>
        <v>0</v>
      </c>
      <c r="W113" s="104"/>
      <c r="X113" s="359"/>
      <c r="Y113" s="358"/>
    </row>
    <row r="114" spans="1:25" ht="45" x14ac:dyDescent="0.25">
      <c r="A114" s="524" t="s">
        <v>771</v>
      </c>
      <c r="B114" s="519" t="s">
        <v>94</v>
      </c>
      <c r="C114" s="519">
        <v>91996</v>
      </c>
      <c r="D114" s="559" t="s">
        <v>443</v>
      </c>
      <c r="E114" s="525" t="s">
        <v>46</v>
      </c>
      <c r="F114" s="399"/>
      <c r="G114" s="399"/>
      <c r="H114" s="588"/>
      <c r="I114" s="399">
        <v>0</v>
      </c>
      <c r="J114" s="399">
        <v>0</v>
      </c>
      <c r="K114" s="399">
        <v>0</v>
      </c>
      <c r="L114" s="588">
        <v>1</v>
      </c>
      <c r="M114" s="530">
        <f t="shared" si="206"/>
        <v>1</v>
      </c>
      <c r="N114" s="102">
        <v>11.86</v>
      </c>
      <c r="O114" s="102">
        <v>14.83</v>
      </c>
      <c r="P114" s="102">
        <f t="shared" si="207"/>
        <v>26.69</v>
      </c>
      <c r="Q114" s="102">
        <f t="shared" si="208"/>
        <v>11.86</v>
      </c>
      <c r="R114" s="102">
        <f t="shared" si="209"/>
        <v>14.83</v>
      </c>
      <c r="S114" s="102">
        <f t="shared" si="210"/>
        <v>26.69</v>
      </c>
      <c r="T114" s="410">
        <f t="shared" si="211"/>
        <v>0.25</v>
      </c>
      <c r="U114" s="408">
        <f t="shared" si="212"/>
        <v>33.36</v>
      </c>
      <c r="V114" s="171">
        <f>+S114/Resumo!$D$33</f>
        <v>6.4084729953454891E-5</v>
      </c>
      <c r="W114" s="104"/>
      <c r="X114" s="359"/>
      <c r="Y114" s="358"/>
    </row>
    <row r="115" spans="1:25" ht="30" x14ac:dyDescent="0.25">
      <c r="A115" s="524" t="s">
        <v>772</v>
      </c>
      <c r="B115" s="519" t="s">
        <v>115</v>
      </c>
      <c r="C115" s="519" t="str">
        <f>A115</f>
        <v>2.9.1.33</v>
      </c>
      <c r="D115" s="559" t="s">
        <v>431</v>
      </c>
      <c r="E115" s="525" t="s">
        <v>46</v>
      </c>
      <c r="F115" s="399"/>
      <c r="G115" s="399"/>
      <c r="H115" s="588"/>
      <c r="I115" s="399">
        <v>0</v>
      </c>
      <c r="J115" s="399">
        <v>0</v>
      </c>
      <c r="K115" s="399">
        <v>0</v>
      </c>
      <c r="L115" s="588">
        <f t="shared" si="223"/>
        <v>0</v>
      </c>
      <c r="M115" s="530">
        <f t="shared" ref="M115:M135" si="240">H115+L115</f>
        <v>0</v>
      </c>
      <c r="N115" s="102">
        <f>(ROUND(VLOOKUP(D115,Comp!$B$2:$M$23042,12,0),2))</f>
        <v>19.73</v>
      </c>
      <c r="O115" s="102">
        <f>ROUND(VLOOKUP(D115,Comp!$B$8:$M$23042,7,0),2)</f>
        <v>72.650000000000006</v>
      </c>
      <c r="P115" s="102">
        <f t="shared" si="207"/>
        <v>92.38</v>
      </c>
      <c r="Q115" s="102">
        <f t="shared" si="208"/>
        <v>0</v>
      </c>
      <c r="R115" s="102">
        <f t="shared" si="209"/>
        <v>0</v>
      </c>
      <c r="S115" s="102">
        <f t="shared" si="210"/>
        <v>0</v>
      </c>
      <c r="T115" s="410">
        <f t="shared" si="211"/>
        <v>0.25</v>
      </c>
      <c r="U115" s="408">
        <f t="shared" si="212"/>
        <v>0</v>
      </c>
      <c r="V115" s="171">
        <f>+S115/Resumo!$D$33</f>
        <v>0</v>
      </c>
      <c r="W115" s="104"/>
      <c r="X115" s="359"/>
      <c r="Y115" s="358"/>
    </row>
    <row r="116" spans="1:25" x14ac:dyDescent="0.25">
      <c r="A116" s="524" t="s">
        <v>773</v>
      </c>
      <c r="B116" s="519" t="s">
        <v>94</v>
      </c>
      <c r="C116" s="519">
        <v>91945</v>
      </c>
      <c r="D116" s="559" t="s">
        <v>432</v>
      </c>
      <c r="E116" s="525" t="s">
        <v>46</v>
      </c>
      <c r="F116" s="399"/>
      <c r="G116" s="399"/>
      <c r="H116" s="588"/>
      <c r="I116" s="399">
        <v>0</v>
      </c>
      <c r="J116" s="399">
        <v>0</v>
      </c>
      <c r="K116" s="399">
        <v>0</v>
      </c>
      <c r="L116" s="588">
        <f t="shared" si="223"/>
        <v>0</v>
      </c>
      <c r="M116" s="530">
        <f t="shared" si="240"/>
        <v>0</v>
      </c>
      <c r="N116" s="102">
        <v>3.33</v>
      </c>
      <c r="O116" s="102">
        <v>4.99</v>
      </c>
      <c r="P116" s="102">
        <f t="shared" si="207"/>
        <v>8.32</v>
      </c>
      <c r="Q116" s="102">
        <f t="shared" si="208"/>
        <v>0</v>
      </c>
      <c r="R116" s="102">
        <f t="shared" si="209"/>
        <v>0</v>
      </c>
      <c r="S116" s="102">
        <f t="shared" si="210"/>
        <v>0</v>
      </c>
      <c r="T116" s="410">
        <f t="shared" si="211"/>
        <v>0.25</v>
      </c>
      <c r="U116" s="408">
        <f t="shared" si="212"/>
        <v>0</v>
      </c>
      <c r="V116" s="171">
        <f>+S116/Resumo!$D$33</f>
        <v>0</v>
      </c>
      <c r="W116" s="104"/>
      <c r="X116" s="359"/>
      <c r="Y116" s="358"/>
    </row>
    <row r="117" spans="1:25" x14ac:dyDescent="0.25">
      <c r="A117" s="524" t="s">
        <v>774</v>
      </c>
      <c r="B117" s="519" t="s">
        <v>115</v>
      </c>
      <c r="C117" s="519" t="str">
        <f t="shared" ref="C117:C124" si="241">A117</f>
        <v>2.9.1.35</v>
      </c>
      <c r="D117" s="559" t="s">
        <v>446</v>
      </c>
      <c r="E117" s="525" t="s">
        <v>58</v>
      </c>
      <c r="F117" s="399"/>
      <c r="G117" s="399"/>
      <c r="H117" s="588"/>
      <c r="I117" s="399">
        <v>0</v>
      </c>
      <c r="J117" s="399">
        <v>0</v>
      </c>
      <c r="K117" s="399">
        <v>0</v>
      </c>
      <c r="L117" s="588">
        <v>62</v>
      </c>
      <c r="M117" s="530">
        <f t="shared" si="240"/>
        <v>62</v>
      </c>
      <c r="N117" s="102">
        <f>(ROUND(VLOOKUP(D117,Comp!$B$2:$M$23042,12,0),2))</f>
        <v>1.59</v>
      </c>
      <c r="O117" s="102">
        <f>ROUND(VLOOKUP(D117,Comp!$B$8:$M$23042,7,0),2)</f>
        <v>7.78</v>
      </c>
      <c r="P117" s="102">
        <f t="shared" si="207"/>
        <v>9.3699999999999992</v>
      </c>
      <c r="Q117" s="102">
        <f t="shared" si="208"/>
        <v>98.58</v>
      </c>
      <c r="R117" s="102">
        <f t="shared" si="209"/>
        <v>482.36</v>
      </c>
      <c r="S117" s="102">
        <f t="shared" si="210"/>
        <v>580.94000000000005</v>
      </c>
      <c r="T117" s="410">
        <f t="shared" si="211"/>
        <v>0.25</v>
      </c>
      <c r="U117" s="408">
        <f t="shared" si="212"/>
        <v>726.18</v>
      </c>
      <c r="V117" s="171">
        <f>+S117/Resumo!$D$33</f>
        <v>1.3948813420442147E-3</v>
      </c>
      <c r="W117" s="104"/>
      <c r="X117" s="359"/>
      <c r="Y117" s="358"/>
    </row>
    <row r="118" spans="1:25" x14ac:dyDescent="0.25">
      <c r="A118" s="524" t="s">
        <v>775</v>
      </c>
      <c r="B118" s="519" t="s">
        <v>115</v>
      </c>
      <c r="C118" s="519" t="str">
        <f t="shared" si="241"/>
        <v>2.9.1.36</v>
      </c>
      <c r="D118" s="559" t="s">
        <v>433</v>
      </c>
      <c r="E118" s="525" t="s">
        <v>46</v>
      </c>
      <c r="F118" s="399"/>
      <c r="G118" s="399"/>
      <c r="H118" s="588"/>
      <c r="I118" s="399">
        <v>0</v>
      </c>
      <c r="J118" s="399">
        <v>0</v>
      </c>
      <c r="K118" s="399">
        <v>0</v>
      </c>
      <c r="L118" s="588">
        <v>41</v>
      </c>
      <c r="M118" s="530">
        <f t="shared" si="240"/>
        <v>41</v>
      </c>
      <c r="N118" s="102">
        <f>(ROUND(VLOOKUP(D118,Comp!$B$2:$M$23042,12,0),2))</f>
        <v>2.85</v>
      </c>
      <c r="O118" s="102">
        <f>ROUND(VLOOKUP(D118,Comp!$B$8:$M$23042,7,0),2)</f>
        <v>7.93</v>
      </c>
      <c r="P118" s="102">
        <f t="shared" si="207"/>
        <v>10.78</v>
      </c>
      <c r="Q118" s="102">
        <f t="shared" si="208"/>
        <v>116.85</v>
      </c>
      <c r="R118" s="102">
        <f t="shared" si="209"/>
        <v>325.13</v>
      </c>
      <c r="S118" s="102">
        <f t="shared" si="210"/>
        <v>441.98</v>
      </c>
      <c r="T118" s="410">
        <f t="shared" si="211"/>
        <v>0.25</v>
      </c>
      <c r="U118" s="408">
        <f t="shared" si="212"/>
        <v>552.48</v>
      </c>
      <c r="V118" s="171">
        <f>+S118/Resumo!$D$33</f>
        <v>1.0612277611400523E-3</v>
      </c>
      <c r="W118" s="104"/>
      <c r="X118" s="359"/>
      <c r="Y118" s="358"/>
    </row>
    <row r="119" spans="1:25" ht="30" x14ac:dyDescent="0.25">
      <c r="A119" s="524" t="s">
        <v>776</v>
      </c>
      <c r="B119" s="519" t="s">
        <v>115</v>
      </c>
      <c r="C119" s="519" t="str">
        <f t="shared" si="241"/>
        <v>2.9.1.37</v>
      </c>
      <c r="D119" s="559" t="s">
        <v>626</v>
      </c>
      <c r="E119" s="525" t="s">
        <v>46</v>
      </c>
      <c r="F119" s="399"/>
      <c r="G119" s="399"/>
      <c r="H119" s="588"/>
      <c r="I119" s="399">
        <v>0</v>
      </c>
      <c r="J119" s="399">
        <v>0</v>
      </c>
      <c r="K119" s="399">
        <v>0</v>
      </c>
      <c r="L119" s="588">
        <v>41</v>
      </c>
      <c r="M119" s="530">
        <f t="shared" si="240"/>
        <v>41</v>
      </c>
      <c r="N119" s="102">
        <f>(ROUND(VLOOKUP(D119,Comp!$B$2:$M$23042,12,0),2))</f>
        <v>2.85</v>
      </c>
      <c r="O119" s="102">
        <f>ROUND(VLOOKUP(D119,Comp!$B$8:$M$23042,7,0),2)</f>
        <v>6.09</v>
      </c>
      <c r="P119" s="102">
        <f t="shared" si="207"/>
        <v>8.94</v>
      </c>
      <c r="Q119" s="102">
        <f t="shared" si="208"/>
        <v>116.85</v>
      </c>
      <c r="R119" s="102">
        <f t="shared" si="209"/>
        <v>249.69</v>
      </c>
      <c r="S119" s="102">
        <f t="shared" si="210"/>
        <v>366.54</v>
      </c>
      <c r="T119" s="410">
        <f t="shared" si="211"/>
        <v>0.25</v>
      </c>
      <c r="U119" s="408">
        <f t="shared" si="212"/>
        <v>458.18</v>
      </c>
      <c r="V119" s="171">
        <f>+S119/Resumo!$D$33</f>
        <v>8.8009055515696362E-4</v>
      </c>
      <c r="W119" s="104"/>
      <c r="X119" s="359"/>
      <c r="Y119" s="358"/>
    </row>
    <row r="120" spans="1:25" ht="75" x14ac:dyDescent="0.25">
      <c r="A120" s="524" t="s">
        <v>777</v>
      </c>
      <c r="B120" s="519" t="s">
        <v>115</v>
      </c>
      <c r="C120" s="519" t="str">
        <f t="shared" si="241"/>
        <v>2.9.1.38</v>
      </c>
      <c r="D120" s="559" t="s">
        <v>567</v>
      </c>
      <c r="E120" s="525" t="s">
        <v>46</v>
      </c>
      <c r="F120" s="399"/>
      <c r="G120" s="399"/>
      <c r="H120" s="588"/>
      <c r="I120" s="399">
        <v>0</v>
      </c>
      <c r="J120" s="399">
        <v>0</v>
      </c>
      <c r="K120" s="399">
        <v>0</v>
      </c>
      <c r="L120" s="588">
        <v>21</v>
      </c>
      <c r="M120" s="530">
        <f t="shared" si="240"/>
        <v>21</v>
      </c>
      <c r="N120" s="102">
        <f>(ROUND(VLOOKUP(D120,Comp!$B$2:$M$23042,12,0),2))</f>
        <v>19.899999999999999</v>
      </c>
      <c r="O120" s="102">
        <f>ROUND(VLOOKUP(D120,Comp!$B$8:$M$23042,7,0),2)</f>
        <v>43.09</v>
      </c>
      <c r="P120" s="102">
        <f t="shared" si="207"/>
        <v>62.99</v>
      </c>
      <c r="Q120" s="102">
        <f t="shared" si="208"/>
        <v>417.9</v>
      </c>
      <c r="R120" s="102">
        <f t="shared" si="209"/>
        <v>904.89</v>
      </c>
      <c r="S120" s="102">
        <f t="shared" si="210"/>
        <v>1322.79</v>
      </c>
      <c r="T120" s="410">
        <f t="shared" si="211"/>
        <v>0.25</v>
      </c>
      <c r="U120" s="408">
        <f t="shared" si="212"/>
        <v>1653.49</v>
      </c>
      <c r="V120" s="171">
        <f>+S120/Resumo!$D$33</f>
        <v>3.1761198926613188E-3</v>
      </c>
      <c r="W120" s="104"/>
      <c r="X120" s="359">
        <v>28</v>
      </c>
      <c r="Y120" s="358">
        <f t="shared" si="229"/>
        <v>7</v>
      </c>
    </row>
    <row r="121" spans="1:25" ht="75" x14ac:dyDescent="0.25">
      <c r="A121" s="524" t="s">
        <v>778</v>
      </c>
      <c r="B121" s="519" t="s">
        <v>115</v>
      </c>
      <c r="C121" s="519" t="str">
        <f t="shared" si="241"/>
        <v>2.9.1.39</v>
      </c>
      <c r="D121" s="559" t="s">
        <v>905</v>
      </c>
      <c r="E121" s="525" t="s">
        <v>46</v>
      </c>
      <c r="F121" s="399"/>
      <c r="G121" s="399"/>
      <c r="H121" s="588"/>
      <c r="I121" s="399">
        <v>0</v>
      </c>
      <c r="J121" s="399">
        <v>0</v>
      </c>
      <c r="K121" s="399">
        <v>0</v>
      </c>
      <c r="L121" s="588">
        <v>39</v>
      </c>
      <c r="M121" s="530">
        <f t="shared" si="240"/>
        <v>39</v>
      </c>
      <c r="N121" s="102">
        <f>(ROUND(VLOOKUP(D121,Comp!$B$2:$M$23042,12,0),2))</f>
        <v>15.91</v>
      </c>
      <c r="O121" s="102">
        <f>ROUND(VLOOKUP(D121,Comp!$B$8:$M$23042,7,0),2)</f>
        <v>33.020000000000003</v>
      </c>
      <c r="P121" s="102">
        <f t="shared" ref="P121:P124" si="242">+ROUND(N121+O121,2)</f>
        <v>48.93</v>
      </c>
      <c r="Q121" s="102">
        <f t="shared" ref="Q121:Q124" si="243">ROUND(N121*M121,2)</f>
        <v>620.49</v>
      </c>
      <c r="R121" s="102">
        <f t="shared" ref="R121:R124" si="244">ROUND(O121*M121,2)</f>
        <v>1287.78</v>
      </c>
      <c r="S121" s="102">
        <f t="shared" ref="S121:S124" si="245">ROUND(P121*M121,2)</f>
        <v>1908.27</v>
      </c>
      <c r="T121" s="410">
        <f t="shared" si="211"/>
        <v>0.25</v>
      </c>
      <c r="U121" s="408">
        <f t="shared" ref="U121:U124" si="246">ROUND(S121*(1+T121),2)</f>
        <v>2385.34</v>
      </c>
      <c r="V121" s="171">
        <f>+S121/Resumo!$D$33</f>
        <v>4.5819021217039851E-3</v>
      </c>
      <c r="W121" s="104"/>
      <c r="X121" s="359">
        <v>78</v>
      </c>
      <c r="Y121" s="358">
        <f t="shared" si="229"/>
        <v>39</v>
      </c>
    </row>
    <row r="122" spans="1:25" ht="90" x14ac:dyDescent="0.25">
      <c r="A122" s="524" t="s">
        <v>779</v>
      </c>
      <c r="B122" s="519" t="s">
        <v>115</v>
      </c>
      <c r="C122" s="519" t="str">
        <f t="shared" si="241"/>
        <v>2.9.1.40</v>
      </c>
      <c r="D122" s="559" t="s">
        <v>911</v>
      </c>
      <c r="E122" s="525" t="s">
        <v>46</v>
      </c>
      <c r="F122" s="399"/>
      <c r="G122" s="399"/>
      <c r="H122" s="588"/>
      <c r="I122" s="399">
        <v>0</v>
      </c>
      <c r="J122" s="399">
        <v>0</v>
      </c>
      <c r="K122" s="399">
        <v>0</v>
      </c>
      <c r="L122" s="588">
        <v>2</v>
      </c>
      <c r="M122" s="530">
        <f t="shared" si="240"/>
        <v>2</v>
      </c>
      <c r="N122" s="102">
        <f>(ROUND(VLOOKUP(D122,Comp!$B$2:$M$23042,12,0),2))</f>
        <v>39.78</v>
      </c>
      <c r="O122" s="102">
        <f>ROUND(VLOOKUP(D122,Comp!$B$8:$M$23042,7,0),2)</f>
        <v>1531.4</v>
      </c>
      <c r="P122" s="102">
        <f t="shared" ref="P122" si="247">+ROUND(N122+O122,2)</f>
        <v>1571.18</v>
      </c>
      <c r="Q122" s="102">
        <f t="shared" si="243"/>
        <v>79.56</v>
      </c>
      <c r="R122" s="102">
        <f t="shared" si="244"/>
        <v>3062.8</v>
      </c>
      <c r="S122" s="102">
        <f t="shared" si="245"/>
        <v>3142.36</v>
      </c>
      <c r="T122" s="410">
        <f t="shared" si="211"/>
        <v>0.25</v>
      </c>
      <c r="U122" s="408">
        <f t="shared" si="246"/>
        <v>3927.95</v>
      </c>
      <c r="V122" s="171">
        <f>+S122/Resumo!$D$33</f>
        <v>7.5450465349021553E-3</v>
      </c>
      <c r="W122" s="104"/>
      <c r="X122" s="359"/>
      <c r="Y122" s="358"/>
    </row>
    <row r="123" spans="1:25" ht="45" x14ac:dyDescent="0.25">
      <c r="A123" s="524" t="s">
        <v>781</v>
      </c>
      <c r="B123" s="519" t="s">
        <v>115</v>
      </c>
      <c r="C123" s="519" t="str">
        <f t="shared" si="241"/>
        <v>2.9.1.41</v>
      </c>
      <c r="D123" s="559" t="s">
        <v>451</v>
      </c>
      <c r="E123" s="525" t="s">
        <v>46</v>
      </c>
      <c r="F123" s="399"/>
      <c r="G123" s="399"/>
      <c r="H123" s="588"/>
      <c r="I123" s="399">
        <v>0</v>
      </c>
      <c r="J123" s="399">
        <v>0</v>
      </c>
      <c r="K123" s="399">
        <v>0</v>
      </c>
      <c r="L123" s="588">
        <v>10</v>
      </c>
      <c r="M123" s="530">
        <f t="shared" si="240"/>
        <v>10</v>
      </c>
      <c r="N123" s="102">
        <f>(ROUND(VLOOKUP(D123,Comp!$B$2:$M$23042,12,0),2))</f>
        <v>11.93</v>
      </c>
      <c r="O123" s="102">
        <f>ROUND(VLOOKUP(D123,Comp!$B$8:$M$23042,7,0),2)</f>
        <v>53.75</v>
      </c>
      <c r="P123" s="102">
        <f t="shared" si="242"/>
        <v>65.680000000000007</v>
      </c>
      <c r="Q123" s="102">
        <f t="shared" si="243"/>
        <v>119.3</v>
      </c>
      <c r="R123" s="102">
        <f t="shared" si="244"/>
        <v>537.5</v>
      </c>
      <c r="S123" s="102">
        <f t="shared" si="245"/>
        <v>656.8</v>
      </c>
      <c r="T123" s="410">
        <f t="shared" si="211"/>
        <v>0.25</v>
      </c>
      <c r="U123" s="408">
        <f t="shared" si="246"/>
        <v>821</v>
      </c>
      <c r="V123" s="171">
        <f>+S123/Resumo!$D$33</f>
        <v>1.5770270001284816E-3</v>
      </c>
      <c r="W123" s="104"/>
      <c r="X123" s="359"/>
      <c r="Y123" s="358"/>
    </row>
    <row r="124" spans="1:25" x14ac:dyDescent="0.25">
      <c r="A124" s="524" t="s">
        <v>782</v>
      </c>
      <c r="B124" s="519" t="s">
        <v>115</v>
      </c>
      <c r="C124" s="519" t="str">
        <f t="shared" si="241"/>
        <v>2.9.1.42</v>
      </c>
      <c r="D124" s="559" t="s">
        <v>434</v>
      </c>
      <c r="E124" s="525" t="s">
        <v>46</v>
      </c>
      <c r="F124" s="399"/>
      <c r="G124" s="399"/>
      <c r="H124" s="588"/>
      <c r="I124" s="399">
        <v>0</v>
      </c>
      <c r="J124" s="399">
        <v>0</v>
      </c>
      <c r="K124" s="399">
        <v>0</v>
      </c>
      <c r="L124" s="588">
        <f t="shared" si="223"/>
        <v>0</v>
      </c>
      <c r="M124" s="530">
        <f t="shared" si="240"/>
        <v>0</v>
      </c>
      <c r="N124" s="102">
        <f>(ROUND(VLOOKUP(D124,Comp!$B$2:$M$23042,12,0),2))</f>
        <v>2.85</v>
      </c>
      <c r="O124" s="102">
        <f>ROUND(VLOOKUP(D124,Comp!$B$8:$M$23042,7,0),2)</f>
        <v>2.17</v>
      </c>
      <c r="P124" s="102">
        <f t="shared" si="242"/>
        <v>5.0199999999999996</v>
      </c>
      <c r="Q124" s="102">
        <f t="shared" si="243"/>
        <v>0</v>
      </c>
      <c r="R124" s="102">
        <f t="shared" si="244"/>
        <v>0</v>
      </c>
      <c r="S124" s="102">
        <f t="shared" si="245"/>
        <v>0</v>
      </c>
      <c r="T124" s="410">
        <f t="shared" si="211"/>
        <v>0.25</v>
      </c>
      <c r="U124" s="408">
        <f t="shared" si="246"/>
        <v>0</v>
      </c>
      <c r="V124" s="171">
        <f>+S124/Resumo!$D$33</f>
        <v>0</v>
      </c>
      <c r="W124" s="104"/>
      <c r="X124" s="359"/>
      <c r="Y124" s="358"/>
    </row>
    <row r="125" spans="1:25" x14ac:dyDescent="0.25">
      <c r="A125" s="524" t="s">
        <v>783</v>
      </c>
      <c r="B125" s="519" t="s">
        <v>94</v>
      </c>
      <c r="C125" s="519">
        <v>95802</v>
      </c>
      <c r="D125" s="559" t="s">
        <v>435</v>
      </c>
      <c r="E125" s="525" t="s">
        <v>46</v>
      </c>
      <c r="F125" s="399"/>
      <c r="G125" s="399"/>
      <c r="H125" s="588"/>
      <c r="I125" s="399">
        <v>0</v>
      </c>
      <c r="J125" s="399">
        <v>0</v>
      </c>
      <c r="K125" s="399">
        <v>0</v>
      </c>
      <c r="L125" s="588">
        <v>101</v>
      </c>
      <c r="M125" s="530">
        <f t="shared" si="240"/>
        <v>101</v>
      </c>
      <c r="N125" s="102">
        <v>16.760000000000002</v>
      </c>
      <c r="O125" s="102">
        <v>22.91</v>
      </c>
      <c r="P125" s="102">
        <f t="shared" ref="P125:P126" si="248">+ROUND(N125+O125,2)</f>
        <v>39.67</v>
      </c>
      <c r="Q125" s="102">
        <f t="shared" ref="Q125:Q126" si="249">ROUND(N125*M125,2)</f>
        <v>1692.76</v>
      </c>
      <c r="R125" s="102">
        <f t="shared" ref="R125:R126" si="250">ROUND(O125*M125,2)</f>
        <v>2313.91</v>
      </c>
      <c r="S125" s="102">
        <f t="shared" ref="S125:S126" si="251">ROUND(P125*M125,2)</f>
        <v>4006.67</v>
      </c>
      <c r="T125" s="410">
        <f t="shared" si="211"/>
        <v>0.25</v>
      </c>
      <c r="U125" s="408">
        <f t="shared" ref="U125:U126" si="252">ROUND(S125*(1+T125),2)</f>
        <v>5008.34</v>
      </c>
      <c r="V125" s="171">
        <f>+S125/Resumo!$D$33</f>
        <v>9.6203209053057001E-3</v>
      </c>
      <c r="W125" s="104"/>
      <c r="X125" s="359"/>
      <c r="Y125" s="358"/>
    </row>
    <row r="126" spans="1:25" x14ac:dyDescent="0.25">
      <c r="A126" s="524" t="s">
        <v>784</v>
      </c>
      <c r="B126" s="519" t="s">
        <v>115</v>
      </c>
      <c r="C126" s="519" t="str">
        <f>A126</f>
        <v>2.9.1.44</v>
      </c>
      <c r="D126" s="559" t="s">
        <v>436</v>
      </c>
      <c r="E126" s="525" t="s">
        <v>46</v>
      </c>
      <c r="F126" s="399"/>
      <c r="G126" s="399"/>
      <c r="H126" s="588"/>
      <c r="I126" s="399">
        <v>0</v>
      </c>
      <c r="J126" s="399">
        <v>0</v>
      </c>
      <c r="K126" s="399">
        <v>0</v>
      </c>
      <c r="L126" s="588">
        <v>10</v>
      </c>
      <c r="M126" s="530">
        <f t="shared" si="240"/>
        <v>10</v>
      </c>
      <c r="N126" s="102">
        <f>(ROUND(VLOOKUP(D126,Comp!$B$2:$M$23042,12,0),2))</f>
        <v>1.99</v>
      </c>
      <c r="O126" s="102">
        <f>ROUND(VLOOKUP(D126,Comp!$B$8:$M$23042,7,0),2)</f>
        <v>4.29</v>
      </c>
      <c r="P126" s="102">
        <f t="shared" si="248"/>
        <v>6.28</v>
      </c>
      <c r="Q126" s="102">
        <f t="shared" si="249"/>
        <v>19.899999999999999</v>
      </c>
      <c r="R126" s="102">
        <f t="shared" si="250"/>
        <v>42.9</v>
      </c>
      <c r="S126" s="102">
        <f t="shared" si="251"/>
        <v>62.8</v>
      </c>
      <c r="T126" s="410">
        <f t="shared" si="211"/>
        <v>0.25</v>
      </c>
      <c r="U126" s="408">
        <f t="shared" si="252"/>
        <v>78.5</v>
      </c>
      <c r="V126" s="171">
        <f>+S126/Resumo!$D$33</f>
        <v>1.5078759989048209E-4</v>
      </c>
      <c r="W126" s="104"/>
      <c r="X126" s="359"/>
      <c r="Y126" s="358"/>
    </row>
    <row r="127" spans="1:25" ht="30" x14ac:dyDescent="0.25">
      <c r="A127" s="524" t="s">
        <v>785</v>
      </c>
      <c r="B127" s="519" t="s">
        <v>115</v>
      </c>
      <c r="C127" s="519" t="str">
        <f>A127</f>
        <v>2.9.1.45</v>
      </c>
      <c r="D127" s="559" t="s">
        <v>803</v>
      </c>
      <c r="E127" s="525" t="s">
        <v>46</v>
      </c>
      <c r="F127" s="399"/>
      <c r="G127" s="399"/>
      <c r="H127" s="588"/>
      <c r="I127" s="399">
        <v>0</v>
      </c>
      <c r="J127" s="399">
        <v>0</v>
      </c>
      <c r="K127" s="399">
        <v>0</v>
      </c>
      <c r="L127" s="588">
        <v>2</v>
      </c>
      <c r="M127" s="530">
        <f t="shared" si="240"/>
        <v>2</v>
      </c>
      <c r="N127" s="102">
        <f>(ROUND(VLOOKUP(D127,Comp!$B$2:$M$23042,12,0),2))</f>
        <v>2.99</v>
      </c>
      <c r="O127" s="102">
        <f>ROUND(VLOOKUP(D127,Comp!$B$8:$M$23042,7,0),2)</f>
        <v>10.31</v>
      </c>
      <c r="P127" s="102">
        <f t="shared" ref="P127:P128" si="253">+ROUND(N127+O127,2)</f>
        <v>13.3</v>
      </c>
      <c r="Q127" s="102">
        <f t="shared" ref="Q127:Q128" si="254">ROUND(N127*M127,2)</f>
        <v>5.98</v>
      </c>
      <c r="R127" s="102">
        <f t="shared" ref="R127:R128" si="255">ROUND(O127*M127,2)</f>
        <v>20.62</v>
      </c>
      <c r="S127" s="102">
        <f t="shared" ref="S127:S128" si="256">ROUND(P127*M127,2)</f>
        <v>26.6</v>
      </c>
      <c r="T127" s="410">
        <f t="shared" si="211"/>
        <v>0.25</v>
      </c>
      <c r="U127" s="408">
        <f t="shared" ref="U127:U128" si="257">ROUND(S127*(1+T127),2)</f>
        <v>33.25</v>
      </c>
      <c r="V127" s="171">
        <f>+S127/Resumo!$D$33</f>
        <v>6.3868633074630959E-5</v>
      </c>
      <c r="W127" s="104"/>
      <c r="X127" s="359"/>
      <c r="Y127" s="358"/>
    </row>
    <row r="128" spans="1:25" x14ac:dyDescent="0.25">
      <c r="A128" s="524" t="s">
        <v>786</v>
      </c>
      <c r="B128" s="519" t="s">
        <v>94</v>
      </c>
      <c r="C128" s="519">
        <v>95746</v>
      </c>
      <c r="D128" s="559" t="s">
        <v>789</v>
      </c>
      <c r="E128" s="525" t="s">
        <v>58</v>
      </c>
      <c r="F128" s="399"/>
      <c r="G128" s="399"/>
      <c r="H128" s="588"/>
      <c r="I128" s="399">
        <v>0</v>
      </c>
      <c r="J128" s="399">
        <v>0</v>
      </c>
      <c r="K128" s="399">
        <v>0</v>
      </c>
      <c r="L128" s="588">
        <v>129</v>
      </c>
      <c r="M128" s="530">
        <f t="shared" si="240"/>
        <v>129</v>
      </c>
      <c r="N128" s="102">
        <v>5.89</v>
      </c>
      <c r="O128" s="102">
        <f>30.29-N128</f>
        <v>24.4</v>
      </c>
      <c r="P128" s="102">
        <f t="shared" si="253"/>
        <v>30.29</v>
      </c>
      <c r="Q128" s="102">
        <f t="shared" si="254"/>
        <v>759.81</v>
      </c>
      <c r="R128" s="102">
        <f t="shared" si="255"/>
        <v>3147.6</v>
      </c>
      <c r="S128" s="102">
        <f t="shared" si="256"/>
        <v>3907.41</v>
      </c>
      <c r="T128" s="410">
        <f t="shared" si="211"/>
        <v>0.25</v>
      </c>
      <c r="U128" s="408">
        <f t="shared" si="257"/>
        <v>4884.26</v>
      </c>
      <c r="V128" s="171">
        <f>+S128/Resumo!$D$33</f>
        <v>9.3819900587272086E-3</v>
      </c>
      <c r="W128" s="104"/>
      <c r="X128" s="359"/>
      <c r="Y128" s="358"/>
    </row>
    <row r="129" spans="1:25" ht="30" x14ac:dyDescent="0.25">
      <c r="A129" s="524" t="s">
        <v>787</v>
      </c>
      <c r="B129" s="519" t="s">
        <v>115</v>
      </c>
      <c r="C129" s="519" t="str">
        <f>A129</f>
        <v>2.9.1.47</v>
      </c>
      <c r="D129" s="559" t="s">
        <v>790</v>
      </c>
      <c r="E129" s="525" t="s">
        <v>58</v>
      </c>
      <c r="F129" s="399"/>
      <c r="G129" s="399"/>
      <c r="H129" s="588"/>
      <c r="I129" s="399">
        <v>0</v>
      </c>
      <c r="J129" s="399">
        <v>0</v>
      </c>
      <c r="K129" s="399">
        <v>0</v>
      </c>
      <c r="L129" s="588">
        <v>23</v>
      </c>
      <c r="M129" s="530">
        <f t="shared" si="240"/>
        <v>23</v>
      </c>
      <c r="N129" s="102">
        <f>(ROUND(VLOOKUP(D129,Comp!$B$2:$M$23042,12,0),2))</f>
        <v>23.87</v>
      </c>
      <c r="O129" s="102">
        <f>ROUND(VLOOKUP(D129,Comp!$B$8:$M$23042,7,0),2)</f>
        <v>122.09</v>
      </c>
      <c r="P129" s="102">
        <f t="shared" ref="P129:P135" si="258">+ROUND(N129+O129,2)</f>
        <v>145.96</v>
      </c>
      <c r="Q129" s="102">
        <f t="shared" ref="Q129:Q135" si="259">ROUND(N129*M129,2)</f>
        <v>549.01</v>
      </c>
      <c r="R129" s="102">
        <f t="shared" ref="R129:R135" si="260">ROUND(O129*M129,2)</f>
        <v>2808.07</v>
      </c>
      <c r="S129" s="102">
        <f t="shared" ref="S129:S135" si="261">ROUND(P129*M129,2)</f>
        <v>3357.08</v>
      </c>
      <c r="T129" s="410">
        <f t="shared" si="211"/>
        <v>0.25</v>
      </c>
      <c r="U129" s="408">
        <f t="shared" ref="U129:U135" si="262">ROUND(S129*(1+T129),2)</f>
        <v>4196.3500000000004</v>
      </c>
      <c r="V129" s="171">
        <f>+S129/Resumo!$D$33</f>
        <v>8.0606056662474463E-3</v>
      </c>
      <c r="W129" s="104"/>
      <c r="X129" s="359">
        <v>140</v>
      </c>
      <c r="Y129" s="358">
        <f t="shared" si="229"/>
        <v>117</v>
      </c>
    </row>
    <row r="130" spans="1:25" ht="45" x14ac:dyDescent="0.25">
      <c r="A130" s="524" t="s">
        <v>788</v>
      </c>
      <c r="B130" s="519" t="s">
        <v>115</v>
      </c>
      <c r="C130" s="519" t="str">
        <f>A130</f>
        <v>2.9.1.48</v>
      </c>
      <c r="D130" s="559" t="s">
        <v>791</v>
      </c>
      <c r="E130" s="525" t="s">
        <v>58</v>
      </c>
      <c r="F130" s="399"/>
      <c r="G130" s="399"/>
      <c r="H130" s="588"/>
      <c r="I130" s="399">
        <v>0</v>
      </c>
      <c r="J130" s="399">
        <v>0</v>
      </c>
      <c r="K130" s="399">
        <v>0</v>
      </c>
      <c r="L130" s="588">
        <v>79</v>
      </c>
      <c r="M130" s="530">
        <f t="shared" si="240"/>
        <v>79</v>
      </c>
      <c r="N130" s="102">
        <f>(ROUND(VLOOKUP(D130,Comp!$B$2:$M$23042,12,0),2))</f>
        <v>9.7200000000000006</v>
      </c>
      <c r="O130" s="102">
        <f>ROUND(VLOOKUP(D130,Comp!$B$8:$M$23042,7,0),2)</f>
        <v>0.22</v>
      </c>
      <c r="P130" s="102">
        <f t="shared" si="258"/>
        <v>9.94</v>
      </c>
      <c r="Q130" s="102">
        <f t="shared" si="259"/>
        <v>767.88</v>
      </c>
      <c r="R130" s="102">
        <f t="shared" si="260"/>
        <v>17.38</v>
      </c>
      <c r="S130" s="102">
        <f t="shared" si="261"/>
        <v>785.26</v>
      </c>
      <c r="T130" s="410">
        <f t="shared" si="211"/>
        <v>0.25</v>
      </c>
      <c r="U130" s="408">
        <f t="shared" si="262"/>
        <v>981.58</v>
      </c>
      <c r="V130" s="171">
        <f>+S130/Resumo!$D$33</f>
        <v>1.8854692785031844E-3</v>
      </c>
      <c r="W130" s="104"/>
      <c r="X130" s="359"/>
      <c r="Y130" s="358"/>
    </row>
    <row r="131" spans="1:25" x14ac:dyDescent="0.25">
      <c r="A131" s="524" t="s">
        <v>792</v>
      </c>
      <c r="B131" s="519" t="s">
        <v>115</v>
      </c>
      <c r="C131" s="519" t="str">
        <f>A131</f>
        <v>2.9.1.49</v>
      </c>
      <c r="D131" s="559" t="s">
        <v>797</v>
      </c>
      <c r="E131" s="525" t="s">
        <v>46</v>
      </c>
      <c r="F131" s="399"/>
      <c r="G131" s="399"/>
      <c r="H131" s="588"/>
      <c r="I131" s="399">
        <v>0</v>
      </c>
      <c r="J131" s="399">
        <v>0</v>
      </c>
      <c r="K131" s="399">
        <v>0</v>
      </c>
      <c r="L131" s="588">
        <v>7</v>
      </c>
      <c r="M131" s="530">
        <f t="shared" si="240"/>
        <v>7</v>
      </c>
      <c r="N131" s="102">
        <f>(ROUND(VLOOKUP(D131,Comp!$B$2:$M$23042,12,0),2))</f>
        <v>2.58</v>
      </c>
      <c r="O131" s="102">
        <f>ROUND(VLOOKUP(D131,Comp!$B$8:$M$23042,7,0),2)</f>
        <v>0</v>
      </c>
      <c r="P131" s="102">
        <f t="shared" si="258"/>
        <v>2.58</v>
      </c>
      <c r="Q131" s="102">
        <f t="shared" si="259"/>
        <v>18.059999999999999</v>
      </c>
      <c r="R131" s="102">
        <f t="shared" si="260"/>
        <v>0</v>
      </c>
      <c r="S131" s="102">
        <f t="shared" si="261"/>
        <v>18.059999999999999</v>
      </c>
      <c r="T131" s="410">
        <f t="shared" si="211"/>
        <v>0.25</v>
      </c>
      <c r="U131" s="408">
        <f t="shared" si="262"/>
        <v>22.58</v>
      </c>
      <c r="V131" s="171">
        <f>+S131/Resumo!$D$33</f>
        <v>4.336344035067049E-5</v>
      </c>
      <c r="W131" s="104"/>
      <c r="X131" s="359"/>
      <c r="Y131" s="358"/>
    </row>
    <row r="132" spans="1:25" x14ac:dyDescent="0.25">
      <c r="A132" s="524" t="s">
        <v>793</v>
      </c>
      <c r="B132" s="519" t="s">
        <v>115</v>
      </c>
      <c r="C132" s="519" t="str">
        <f>C155</f>
        <v>2.9.2.19</v>
      </c>
      <c r="D132" s="559" t="s">
        <v>798</v>
      </c>
      <c r="E132" s="525" t="s">
        <v>46</v>
      </c>
      <c r="F132" s="399"/>
      <c r="G132" s="399"/>
      <c r="H132" s="588"/>
      <c r="I132" s="399">
        <v>0</v>
      </c>
      <c r="J132" s="399">
        <v>0</v>
      </c>
      <c r="K132" s="399">
        <v>0</v>
      </c>
      <c r="L132" s="588">
        <v>6</v>
      </c>
      <c r="M132" s="530">
        <f t="shared" si="240"/>
        <v>6</v>
      </c>
      <c r="N132" s="102">
        <f>(ROUND(VLOOKUP(D132,Comp!$B$2:$M$23042,12,0),2))</f>
        <v>7.41</v>
      </c>
      <c r="O132" s="102">
        <f>ROUND(VLOOKUP(D132,Comp!$B$8:$M$23042,7,0),2)</f>
        <v>0</v>
      </c>
      <c r="P132" s="102">
        <f t="shared" si="258"/>
        <v>7.41</v>
      </c>
      <c r="Q132" s="102">
        <f t="shared" si="259"/>
        <v>44.46</v>
      </c>
      <c r="R132" s="102">
        <f t="shared" si="260"/>
        <v>0</v>
      </c>
      <c r="S132" s="102">
        <f t="shared" si="261"/>
        <v>44.46</v>
      </c>
      <c r="T132" s="410">
        <f t="shared" si="211"/>
        <v>0.25</v>
      </c>
      <c r="U132" s="408">
        <f t="shared" si="262"/>
        <v>55.58</v>
      </c>
      <c r="V132" s="171">
        <f>+S132/Resumo!$D$33</f>
        <v>1.0675185813902602E-4</v>
      </c>
      <c r="W132" s="104"/>
      <c r="X132" s="359"/>
      <c r="Y132" s="358"/>
    </row>
    <row r="133" spans="1:25" x14ac:dyDescent="0.25">
      <c r="A133" s="524" t="s">
        <v>794</v>
      </c>
      <c r="B133" s="519" t="s">
        <v>115</v>
      </c>
      <c r="C133" s="519" t="str">
        <f>A133</f>
        <v>2.9.1.51</v>
      </c>
      <c r="D133" s="559" t="s">
        <v>799</v>
      </c>
      <c r="E133" s="525" t="s">
        <v>46</v>
      </c>
      <c r="F133" s="399"/>
      <c r="G133" s="399"/>
      <c r="H133" s="588"/>
      <c r="I133" s="399">
        <v>0</v>
      </c>
      <c r="J133" s="399">
        <v>0</v>
      </c>
      <c r="K133" s="399">
        <v>0</v>
      </c>
      <c r="L133" s="588">
        <v>96</v>
      </c>
      <c r="M133" s="530">
        <f t="shared" si="240"/>
        <v>96</v>
      </c>
      <c r="N133" s="102">
        <f>(ROUND(VLOOKUP(D133,Comp!$B$2:$M$23042,12,0),2))</f>
        <v>2.58</v>
      </c>
      <c r="O133" s="102">
        <f>ROUND(VLOOKUP(D133,Comp!$B$8:$M$23042,7,0),2)</f>
        <v>0</v>
      </c>
      <c r="P133" s="102">
        <f t="shared" si="258"/>
        <v>2.58</v>
      </c>
      <c r="Q133" s="102">
        <f t="shared" si="259"/>
        <v>247.68</v>
      </c>
      <c r="R133" s="102">
        <f t="shared" si="260"/>
        <v>0</v>
      </c>
      <c r="S133" s="102">
        <f t="shared" si="261"/>
        <v>247.68</v>
      </c>
      <c r="T133" s="410">
        <f t="shared" si="211"/>
        <v>0.25</v>
      </c>
      <c r="U133" s="408">
        <f t="shared" si="262"/>
        <v>309.60000000000002</v>
      </c>
      <c r="V133" s="171">
        <f>+S133/Resumo!$D$33</f>
        <v>5.94698610523481E-4</v>
      </c>
      <c r="W133" s="104"/>
      <c r="X133" s="359"/>
      <c r="Y133" s="358"/>
    </row>
    <row r="134" spans="1:25" x14ac:dyDescent="0.25">
      <c r="A134" s="524" t="s">
        <v>795</v>
      </c>
      <c r="B134" s="519" t="s">
        <v>115</v>
      </c>
      <c r="C134" s="519" t="str">
        <f>A134</f>
        <v>2.9.1.52</v>
      </c>
      <c r="D134" s="559" t="s">
        <v>800</v>
      </c>
      <c r="E134" s="525" t="s">
        <v>46</v>
      </c>
      <c r="F134" s="399"/>
      <c r="G134" s="399"/>
      <c r="H134" s="588"/>
      <c r="I134" s="399">
        <v>0</v>
      </c>
      <c r="J134" s="399">
        <v>0</v>
      </c>
      <c r="K134" s="399">
        <v>0</v>
      </c>
      <c r="L134" s="588">
        <v>3</v>
      </c>
      <c r="M134" s="530">
        <f t="shared" si="240"/>
        <v>3</v>
      </c>
      <c r="N134" s="102">
        <f>(ROUND(VLOOKUP(D134,Comp!$B$2:$M$23042,12,0),2))</f>
        <v>17.170000000000002</v>
      </c>
      <c r="O134" s="102">
        <f>ROUND(VLOOKUP(D134,Comp!$B$8:$M$23042,7,0),2)</f>
        <v>0</v>
      </c>
      <c r="P134" s="102">
        <f t="shared" si="258"/>
        <v>17.170000000000002</v>
      </c>
      <c r="Q134" s="102">
        <f t="shared" si="259"/>
        <v>51.51</v>
      </c>
      <c r="R134" s="102">
        <f t="shared" si="260"/>
        <v>0</v>
      </c>
      <c r="S134" s="102">
        <f t="shared" si="261"/>
        <v>51.51</v>
      </c>
      <c r="T134" s="410">
        <f t="shared" si="211"/>
        <v>0.25</v>
      </c>
      <c r="U134" s="408">
        <f t="shared" si="262"/>
        <v>64.39</v>
      </c>
      <c r="V134" s="171">
        <f>+S134/Resumo!$D$33</f>
        <v>1.2367944698023461E-4</v>
      </c>
      <c r="W134" s="104"/>
      <c r="X134" s="359"/>
      <c r="Y134" s="358"/>
    </row>
    <row r="135" spans="1:25" ht="60" x14ac:dyDescent="0.25">
      <c r="A135" s="524" t="s">
        <v>796</v>
      </c>
      <c r="B135" s="519" t="s">
        <v>115</v>
      </c>
      <c r="C135" s="519" t="str">
        <f>A135</f>
        <v>2.9.1.53</v>
      </c>
      <c r="D135" s="559" t="s">
        <v>801</v>
      </c>
      <c r="E135" s="525" t="s">
        <v>46</v>
      </c>
      <c r="F135" s="399"/>
      <c r="G135" s="399"/>
      <c r="H135" s="588"/>
      <c r="I135" s="399">
        <v>0</v>
      </c>
      <c r="J135" s="399">
        <v>0</v>
      </c>
      <c r="K135" s="399">
        <v>0</v>
      </c>
      <c r="L135" s="588">
        <v>135</v>
      </c>
      <c r="M135" s="530">
        <f t="shared" si="240"/>
        <v>135</v>
      </c>
      <c r="N135" s="102">
        <f>(ROUND(VLOOKUP(D135,Comp!$B$2:$M$23042,12,0),2))</f>
        <v>19.899999999999999</v>
      </c>
      <c r="O135" s="102">
        <f>ROUND(VLOOKUP(D135,Comp!$B$8:$M$23042,7,0),2)</f>
        <v>0</v>
      </c>
      <c r="P135" s="102">
        <f t="shared" si="258"/>
        <v>19.899999999999999</v>
      </c>
      <c r="Q135" s="102">
        <f t="shared" si="259"/>
        <v>2686.5</v>
      </c>
      <c r="R135" s="102">
        <f t="shared" si="260"/>
        <v>0</v>
      </c>
      <c r="S135" s="102">
        <f t="shared" si="261"/>
        <v>2686.5</v>
      </c>
      <c r="T135" s="410">
        <f t="shared" si="211"/>
        <v>0.25</v>
      </c>
      <c r="U135" s="408">
        <f t="shared" si="262"/>
        <v>3358.13</v>
      </c>
      <c r="V135" s="171">
        <f>+S135/Resumo!$D$33</f>
        <v>6.4504918328945884E-3</v>
      </c>
      <c r="W135" s="104"/>
      <c r="X135" s="359"/>
      <c r="Y135" s="358"/>
    </row>
    <row r="136" spans="1:25" s="28" customFormat="1" x14ac:dyDescent="0.25">
      <c r="A136" s="106" t="s">
        <v>331</v>
      </c>
      <c r="B136" s="392"/>
      <c r="C136" s="392"/>
      <c r="D136" s="65" t="s">
        <v>483</v>
      </c>
      <c r="E136" s="134"/>
      <c r="F136" s="403"/>
      <c r="G136" s="403"/>
      <c r="H136" s="403"/>
      <c r="I136" s="403"/>
      <c r="J136" s="403"/>
      <c r="K136" s="403"/>
      <c r="L136" s="403"/>
      <c r="M136" s="46"/>
      <c r="N136" s="46"/>
      <c r="O136" s="46"/>
      <c r="P136" s="46"/>
      <c r="Q136" s="46">
        <f>SUM(Q137:Q157)</f>
        <v>2562.64</v>
      </c>
      <c r="R136" s="46">
        <f>SUM(R137:R157)</f>
        <v>7628.6099999999969</v>
      </c>
      <c r="S136" s="46">
        <f>SUM(S137:S157)</f>
        <v>10191.250000000002</v>
      </c>
      <c r="T136" s="46"/>
      <c r="U136" s="46">
        <f>SUM(U137:U157)</f>
        <v>12739.09</v>
      </c>
      <c r="V136" s="173">
        <f>+S136/Resumo!$D$33</f>
        <v>2.4469970181271911E-2</v>
      </c>
      <c r="W136" s="104" t="s">
        <v>86</v>
      </c>
      <c r="X136" s="125"/>
      <c r="Y136" s="358"/>
    </row>
    <row r="137" spans="1:25" ht="45" x14ac:dyDescent="0.25">
      <c r="A137" s="524" t="s">
        <v>456</v>
      </c>
      <c r="B137" s="519" t="s">
        <v>115</v>
      </c>
      <c r="C137" s="519" t="str">
        <f>C123</f>
        <v>2.9.1.41</v>
      </c>
      <c r="D137" s="559" t="s">
        <v>451</v>
      </c>
      <c r="E137" s="525" t="s">
        <v>46</v>
      </c>
      <c r="F137" s="399"/>
      <c r="G137" s="399"/>
      <c r="H137" s="588"/>
      <c r="I137" s="399">
        <v>0</v>
      </c>
      <c r="J137" s="399">
        <v>0</v>
      </c>
      <c r="K137" s="399">
        <v>0</v>
      </c>
      <c r="L137" s="588">
        <v>6</v>
      </c>
      <c r="M137" s="530">
        <f t="shared" ref="M137:M157" si="263">H137+L137</f>
        <v>6</v>
      </c>
      <c r="N137" s="102">
        <f>(ROUND(VLOOKUP(D137,Comp!$B$2:$M$23042,12,0),2))</f>
        <v>11.93</v>
      </c>
      <c r="O137" s="102">
        <f>ROUND(VLOOKUP(D137,Comp!$B$8:$M$23042,7,0),2)</f>
        <v>53.75</v>
      </c>
      <c r="P137" s="102">
        <f t="shared" ref="P137" si="264">+ROUND(N137+O137,2)</f>
        <v>65.680000000000007</v>
      </c>
      <c r="Q137" s="102">
        <f t="shared" ref="Q137" si="265">ROUND(N137*M137,2)</f>
        <v>71.58</v>
      </c>
      <c r="R137" s="102">
        <f t="shared" ref="R137" si="266">ROUND(O137*M137,2)</f>
        <v>322.5</v>
      </c>
      <c r="S137" s="102">
        <f t="shared" ref="S137" si="267">ROUND(P137*M137,2)</f>
        <v>394.08</v>
      </c>
      <c r="T137" s="410">
        <f t="shared" ref="T137:T157" si="268">$M$6</f>
        <v>0.25</v>
      </c>
      <c r="U137" s="408">
        <f t="shared" ref="U137" si="269">ROUND(S137*(1+T137),2)</f>
        <v>492.6</v>
      </c>
      <c r="V137" s="171">
        <f>+S137/Resumo!$D$33</f>
        <v>9.4621620007708895E-4</v>
      </c>
      <c r="W137" s="104"/>
      <c r="X137" s="359"/>
      <c r="Y137" s="358"/>
    </row>
    <row r="138" spans="1:25" ht="30" x14ac:dyDescent="0.25">
      <c r="A138" s="524" t="s">
        <v>457</v>
      </c>
      <c r="B138" s="519" t="s">
        <v>115</v>
      </c>
      <c r="C138" s="519" t="str">
        <f t="shared" ref="C138" si="270">A138</f>
        <v>2.9.2.2</v>
      </c>
      <c r="D138" s="559" t="s">
        <v>476</v>
      </c>
      <c r="E138" s="525" t="s">
        <v>46</v>
      </c>
      <c r="F138" s="399"/>
      <c r="G138" s="399"/>
      <c r="H138" s="588"/>
      <c r="I138" s="399">
        <v>0</v>
      </c>
      <c r="J138" s="399">
        <v>0</v>
      </c>
      <c r="K138" s="399">
        <v>0</v>
      </c>
      <c r="L138" s="588">
        <v>2</v>
      </c>
      <c r="M138" s="530">
        <f t="shared" si="263"/>
        <v>2</v>
      </c>
      <c r="N138" s="102">
        <f>(ROUND(VLOOKUP(D138,Comp!$B$2:$M$23042,12,0),2))</f>
        <v>1.99</v>
      </c>
      <c r="O138" s="102">
        <f>ROUND(VLOOKUP(D138,Comp!$B$8:$M$23042,7,0),2)</f>
        <v>2.82</v>
      </c>
      <c r="P138" s="102">
        <f t="shared" ref="P138" si="271">+ROUND(N138+O138,2)</f>
        <v>4.8099999999999996</v>
      </c>
      <c r="Q138" s="102">
        <f t="shared" ref="Q138" si="272">ROUND(N138*M138,2)</f>
        <v>3.98</v>
      </c>
      <c r="R138" s="102">
        <f t="shared" ref="R138" si="273">ROUND(O138*M138,2)</f>
        <v>5.64</v>
      </c>
      <c r="S138" s="102">
        <f t="shared" ref="S138" si="274">ROUND(P138*M138,2)</f>
        <v>9.6199999999999992</v>
      </c>
      <c r="T138" s="410">
        <f t="shared" si="268"/>
        <v>0.25</v>
      </c>
      <c r="U138" s="408">
        <f t="shared" ref="U138" si="275">ROUND(S138*(1+T138),2)</f>
        <v>12.03</v>
      </c>
      <c r="V138" s="171">
        <f>+S138/Resumo!$D$33</f>
        <v>2.3098355269847735E-5</v>
      </c>
      <c r="W138" s="104"/>
      <c r="X138" s="359"/>
      <c r="Y138" s="358"/>
    </row>
    <row r="139" spans="1:25" ht="60" x14ac:dyDescent="0.25">
      <c r="A139" s="524" t="s">
        <v>458</v>
      </c>
      <c r="B139" s="519" t="s">
        <v>115</v>
      </c>
      <c r="C139" s="519" t="str">
        <f t="shared" ref="C139" si="276">A139</f>
        <v>2.9.2.3</v>
      </c>
      <c r="D139" s="559" t="s">
        <v>907</v>
      </c>
      <c r="E139" s="525" t="s">
        <v>46</v>
      </c>
      <c r="F139" s="399"/>
      <c r="G139" s="399"/>
      <c r="H139" s="588"/>
      <c r="I139" s="399">
        <v>0</v>
      </c>
      <c r="J139" s="399">
        <v>0</v>
      </c>
      <c r="K139" s="399">
        <v>0</v>
      </c>
      <c r="L139" s="588">
        <v>8</v>
      </c>
      <c r="M139" s="530">
        <f t="shared" si="263"/>
        <v>8</v>
      </c>
      <c r="N139" s="102">
        <f>(ROUND(VLOOKUP(D139,Comp!$B$2:$M$23042,12,0),2))</f>
        <v>15.91</v>
      </c>
      <c r="O139" s="102">
        <f>ROUND(VLOOKUP(D139,Comp!$B$8:$M$23042,7,0),2)</f>
        <v>57.61</v>
      </c>
      <c r="P139" s="102">
        <f>+ROUND(N139+O139,2)</f>
        <v>73.52</v>
      </c>
      <c r="Q139" s="102">
        <f>ROUND(N139*M139,2)</f>
        <v>127.28</v>
      </c>
      <c r="R139" s="102">
        <f>ROUND(O139*M139,2)</f>
        <v>460.88</v>
      </c>
      <c r="S139" s="102">
        <f>ROUND(P139*M139,2)</f>
        <v>588.16</v>
      </c>
      <c r="T139" s="410">
        <f t="shared" si="268"/>
        <v>0.25</v>
      </c>
      <c r="U139" s="408">
        <f>ROUND(S139*(1+T139),2)</f>
        <v>735.2</v>
      </c>
      <c r="V139" s="171">
        <f>+S139/Resumo!$D$33</f>
        <v>1.4122171138787572E-3</v>
      </c>
      <c r="W139" s="104"/>
      <c r="X139" s="359"/>
      <c r="Y139" s="358"/>
    </row>
    <row r="140" spans="1:25" ht="60" x14ac:dyDescent="0.25">
      <c r="A140" s="524" t="s">
        <v>459</v>
      </c>
      <c r="B140" s="519" t="s">
        <v>115</v>
      </c>
      <c r="C140" s="519" t="str">
        <f>A140</f>
        <v>2.9.2.4</v>
      </c>
      <c r="D140" s="559" t="s">
        <v>909</v>
      </c>
      <c r="E140" s="525" t="s">
        <v>46</v>
      </c>
      <c r="F140" s="399"/>
      <c r="G140" s="399"/>
      <c r="H140" s="588"/>
      <c r="I140" s="399">
        <v>0</v>
      </c>
      <c r="J140" s="399">
        <v>0</v>
      </c>
      <c r="K140" s="399">
        <v>0</v>
      </c>
      <c r="L140" s="588">
        <v>9</v>
      </c>
      <c r="M140" s="530">
        <f t="shared" si="263"/>
        <v>9</v>
      </c>
      <c r="N140" s="102">
        <f>(ROUND(VLOOKUP(D140,Comp!$B$2:$M$23042,12,0),2))</f>
        <v>19.899999999999999</v>
      </c>
      <c r="O140" s="102">
        <f>ROUND(VLOOKUP(D140,Comp!$B$8:$M$23042,7,0),2)</f>
        <v>83.12</v>
      </c>
      <c r="P140" s="102">
        <f t="shared" ref="P140:P157" si="277">+ROUND(N140+O140,2)</f>
        <v>103.02</v>
      </c>
      <c r="Q140" s="102">
        <f t="shared" ref="Q140:Q157" si="278">ROUND(N140*M140,2)</f>
        <v>179.1</v>
      </c>
      <c r="R140" s="102">
        <f t="shared" ref="R140:R157" si="279">ROUND(O140*M140,2)</f>
        <v>748.08</v>
      </c>
      <c r="S140" s="102">
        <f t="shared" ref="S140:S157" si="280">ROUND(P140*M140,2)</f>
        <v>927.18</v>
      </c>
      <c r="T140" s="410">
        <f t="shared" si="268"/>
        <v>0.25</v>
      </c>
      <c r="U140" s="408">
        <f t="shared" ref="U140:U157" si="281">ROUND(S140*(1+T140),2)</f>
        <v>1158.98</v>
      </c>
      <c r="V140" s="171">
        <f>+S140/Resumo!$D$33</f>
        <v>2.2262300456442228E-3</v>
      </c>
      <c r="W140" s="104"/>
      <c r="X140" s="359"/>
      <c r="Y140" s="358"/>
    </row>
    <row r="141" spans="1:25" ht="60" x14ac:dyDescent="0.25">
      <c r="A141" s="524" t="s">
        <v>460</v>
      </c>
      <c r="B141" s="519" t="s">
        <v>115</v>
      </c>
      <c r="C141" s="519" t="str">
        <f>A141</f>
        <v>2.9.2.5</v>
      </c>
      <c r="D141" s="559" t="s">
        <v>908</v>
      </c>
      <c r="E141" s="525" t="s">
        <v>46</v>
      </c>
      <c r="F141" s="399"/>
      <c r="G141" s="399"/>
      <c r="H141" s="588"/>
      <c r="I141" s="399">
        <v>0</v>
      </c>
      <c r="J141" s="399">
        <v>0</v>
      </c>
      <c r="K141" s="399">
        <v>0</v>
      </c>
      <c r="L141" s="588">
        <v>7</v>
      </c>
      <c r="M141" s="530">
        <f t="shared" si="263"/>
        <v>7</v>
      </c>
      <c r="N141" s="102">
        <f>(ROUND(VLOOKUP(D141,Comp!$B$2:$M$23042,12,0),2))</f>
        <v>15.91</v>
      </c>
      <c r="O141" s="102">
        <f>ROUND(VLOOKUP(D141,Comp!$B$8:$M$23042,7,0),2)</f>
        <v>57.61</v>
      </c>
      <c r="P141" s="102">
        <f t="shared" si="277"/>
        <v>73.52</v>
      </c>
      <c r="Q141" s="102">
        <f t="shared" si="278"/>
        <v>111.37</v>
      </c>
      <c r="R141" s="102">
        <f t="shared" si="279"/>
        <v>403.27</v>
      </c>
      <c r="S141" s="102">
        <f t="shared" si="280"/>
        <v>514.64</v>
      </c>
      <c r="T141" s="410">
        <f t="shared" si="268"/>
        <v>0.25</v>
      </c>
      <c r="U141" s="408">
        <f t="shared" si="281"/>
        <v>643.29999999999995</v>
      </c>
      <c r="V141" s="171">
        <f>+S141/Resumo!$D$33</f>
        <v>1.2356899746439126E-3</v>
      </c>
      <c r="W141" s="104"/>
      <c r="X141" s="359"/>
      <c r="Y141" s="358"/>
    </row>
    <row r="142" spans="1:25" ht="30" x14ac:dyDescent="0.25">
      <c r="A142" s="524" t="s">
        <v>461</v>
      </c>
      <c r="B142" s="519" t="s">
        <v>94</v>
      </c>
      <c r="C142" s="519">
        <v>98297</v>
      </c>
      <c r="D142" s="559" t="s">
        <v>452</v>
      </c>
      <c r="E142" s="525" t="s">
        <v>58</v>
      </c>
      <c r="F142" s="399"/>
      <c r="G142" s="399"/>
      <c r="H142" s="588"/>
      <c r="I142" s="399">
        <v>0</v>
      </c>
      <c r="J142" s="399">
        <v>0</v>
      </c>
      <c r="K142" s="399">
        <v>0</v>
      </c>
      <c r="L142" s="588">
        <v>600</v>
      </c>
      <c r="M142" s="530">
        <f t="shared" si="263"/>
        <v>600</v>
      </c>
      <c r="N142" s="102">
        <v>0.13</v>
      </c>
      <c r="O142" s="102">
        <v>2.73</v>
      </c>
      <c r="P142" s="102">
        <f t="shared" si="277"/>
        <v>2.86</v>
      </c>
      <c r="Q142" s="102">
        <f t="shared" si="278"/>
        <v>78</v>
      </c>
      <c r="R142" s="102">
        <f t="shared" si="279"/>
        <v>1638</v>
      </c>
      <c r="S142" s="102">
        <f t="shared" si="280"/>
        <v>1716</v>
      </c>
      <c r="T142" s="410">
        <f t="shared" si="268"/>
        <v>0.25</v>
      </c>
      <c r="U142" s="408">
        <f t="shared" si="281"/>
        <v>2145</v>
      </c>
      <c r="V142" s="171">
        <f>+S142/Resumo!$D$33</f>
        <v>4.1202471562431101E-3</v>
      </c>
      <c r="W142" s="104"/>
      <c r="X142" s="359"/>
      <c r="Y142" s="358"/>
    </row>
    <row r="143" spans="1:25" x14ac:dyDescent="0.25">
      <c r="A143" s="524" t="s">
        <v>462</v>
      </c>
      <c r="B143" s="519" t="s">
        <v>94</v>
      </c>
      <c r="C143" s="519">
        <v>98262</v>
      </c>
      <c r="D143" s="559" t="s">
        <v>802</v>
      </c>
      <c r="E143" s="525" t="s">
        <v>58</v>
      </c>
      <c r="F143" s="399"/>
      <c r="G143" s="399"/>
      <c r="H143" s="588"/>
      <c r="I143" s="399">
        <v>0</v>
      </c>
      <c r="J143" s="399">
        <v>0</v>
      </c>
      <c r="K143" s="399">
        <v>0</v>
      </c>
      <c r="L143" s="588">
        <v>335</v>
      </c>
      <c r="M143" s="530">
        <f t="shared" si="263"/>
        <v>335</v>
      </c>
      <c r="N143" s="102">
        <v>2.0299999999999998</v>
      </c>
      <c r="O143" s="102">
        <v>1.62</v>
      </c>
      <c r="P143" s="102">
        <f t="shared" si="277"/>
        <v>3.65</v>
      </c>
      <c r="Q143" s="102">
        <f t="shared" si="278"/>
        <v>680.05</v>
      </c>
      <c r="R143" s="102">
        <f t="shared" si="279"/>
        <v>542.70000000000005</v>
      </c>
      <c r="S143" s="102">
        <f t="shared" si="280"/>
        <v>1222.75</v>
      </c>
      <c r="T143" s="410">
        <f t="shared" si="268"/>
        <v>0.25</v>
      </c>
      <c r="U143" s="408">
        <f t="shared" si="281"/>
        <v>1528.44</v>
      </c>
      <c r="V143" s="171">
        <f>+S143/Resumo!$D$33</f>
        <v>2.9359162064663533E-3</v>
      </c>
      <c r="W143" s="104"/>
      <c r="X143" s="359"/>
      <c r="Y143" s="358"/>
    </row>
    <row r="144" spans="1:25" ht="30" x14ac:dyDescent="0.25">
      <c r="A144" s="524" t="s">
        <v>463</v>
      </c>
      <c r="B144" s="519" t="s">
        <v>94</v>
      </c>
      <c r="C144" s="519">
        <v>98302</v>
      </c>
      <c r="D144" s="559" t="s">
        <v>478</v>
      </c>
      <c r="E144" s="525" t="s">
        <v>46</v>
      </c>
      <c r="F144" s="399"/>
      <c r="G144" s="399"/>
      <c r="H144" s="588"/>
      <c r="I144" s="399">
        <v>0</v>
      </c>
      <c r="J144" s="399">
        <v>0</v>
      </c>
      <c r="K144" s="399">
        <v>0</v>
      </c>
      <c r="L144" s="588">
        <v>1</v>
      </c>
      <c r="M144" s="530">
        <f t="shared" si="263"/>
        <v>1</v>
      </c>
      <c r="N144" s="102">
        <v>192.96</v>
      </c>
      <c r="O144" s="102">
        <v>532.91999999999996</v>
      </c>
      <c r="P144" s="102">
        <f t="shared" si="277"/>
        <v>725.88</v>
      </c>
      <c r="Q144" s="102">
        <f t="shared" si="278"/>
        <v>192.96</v>
      </c>
      <c r="R144" s="102">
        <f t="shared" si="279"/>
        <v>532.91999999999996</v>
      </c>
      <c r="S144" s="102">
        <f t="shared" si="280"/>
        <v>725.88</v>
      </c>
      <c r="T144" s="410">
        <f t="shared" si="268"/>
        <v>0.25</v>
      </c>
      <c r="U144" s="408">
        <f t="shared" si="281"/>
        <v>907.35</v>
      </c>
      <c r="V144" s="171">
        <f>+S144/Resumo!$D$33</f>
        <v>1.7428933600080118E-3</v>
      </c>
      <c r="W144" s="104"/>
      <c r="X144" s="359"/>
      <c r="Y144" s="358"/>
    </row>
    <row r="145" spans="1:25" x14ac:dyDescent="0.25">
      <c r="A145" s="524" t="s">
        <v>464</v>
      </c>
      <c r="B145" s="519" t="s">
        <v>115</v>
      </c>
      <c r="C145" s="519" t="str">
        <f>A145</f>
        <v>2.9.2.9</v>
      </c>
      <c r="D145" s="559" t="s">
        <v>453</v>
      </c>
      <c r="E145" s="525" t="s">
        <v>46</v>
      </c>
      <c r="F145" s="399"/>
      <c r="G145" s="399"/>
      <c r="H145" s="588"/>
      <c r="I145" s="399">
        <v>0</v>
      </c>
      <c r="J145" s="399">
        <v>0</v>
      </c>
      <c r="K145" s="399">
        <v>0</v>
      </c>
      <c r="L145" s="588">
        <v>26</v>
      </c>
      <c r="M145" s="530">
        <f t="shared" si="263"/>
        <v>26</v>
      </c>
      <c r="N145" s="102">
        <f>(ROUND(VLOOKUP(D145,Comp!$B$2:$M$23042,12,0),2))</f>
        <v>3.98</v>
      </c>
      <c r="O145" s="102">
        <f>ROUND(VLOOKUP(D145,Comp!$B$8:$M$23042,7,0),2)</f>
        <v>25.31</v>
      </c>
      <c r="P145" s="102">
        <f t="shared" si="277"/>
        <v>29.29</v>
      </c>
      <c r="Q145" s="102">
        <f t="shared" si="278"/>
        <v>103.48</v>
      </c>
      <c r="R145" s="102">
        <f t="shared" si="279"/>
        <v>658.06</v>
      </c>
      <c r="S145" s="102">
        <f t="shared" si="280"/>
        <v>761.54</v>
      </c>
      <c r="T145" s="410">
        <f t="shared" si="268"/>
        <v>0.25</v>
      </c>
      <c r="U145" s="408">
        <f t="shared" si="281"/>
        <v>951.93</v>
      </c>
      <c r="V145" s="171">
        <f>+S145/Resumo!$D$33</f>
        <v>1.8285157455509194E-3</v>
      </c>
      <c r="W145" s="104"/>
      <c r="X145" s="359"/>
      <c r="Y145" s="358"/>
    </row>
    <row r="146" spans="1:25" x14ac:dyDescent="0.25">
      <c r="A146" s="524" t="s">
        <v>465</v>
      </c>
      <c r="B146" s="519" t="s">
        <v>115</v>
      </c>
      <c r="C146" s="519" t="str">
        <f>A146</f>
        <v>2.9.2.10</v>
      </c>
      <c r="D146" s="559" t="s">
        <v>454</v>
      </c>
      <c r="E146" s="525" t="s">
        <v>46</v>
      </c>
      <c r="F146" s="399"/>
      <c r="G146" s="399"/>
      <c r="H146" s="588"/>
      <c r="I146" s="399">
        <v>0</v>
      </c>
      <c r="J146" s="399">
        <v>0</v>
      </c>
      <c r="K146" s="399">
        <v>0</v>
      </c>
      <c r="L146" s="588">
        <v>26</v>
      </c>
      <c r="M146" s="530">
        <f t="shared" si="263"/>
        <v>26</v>
      </c>
      <c r="N146" s="102">
        <f>(ROUND(VLOOKUP(D146,Comp!$B$2:$M$23042,12,0),2))</f>
        <v>3.98</v>
      </c>
      <c r="O146" s="102">
        <f>ROUND(VLOOKUP(D146,Comp!$B$8:$M$23042,7,0),2)</f>
        <v>29.04</v>
      </c>
      <c r="P146" s="102">
        <f t="shared" si="277"/>
        <v>33.020000000000003</v>
      </c>
      <c r="Q146" s="102">
        <f t="shared" si="278"/>
        <v>103.48</v>
      </c>
      <c r="R146" s="102">
        <f t="shared" si="279"/>
        <v>755.04</v>
      </c>
      <c r="S146" s="102">
        <f t="shared" si="280"/>
        <v>858.52</v>
      </c>
      <c r="T146" s="410">
        <f t="shared" si="268"/>
        <v>0.25</v>
      </c>
      <c r="U146" s="408">
        <f t="shared" si="281"/>
        <v>1073.1500000000001</v>
      </c>
      <c r="V146" s="171">
        <f>+S146/Resumo!$D$33</f>
        <v>2.0613721378658707E-3</v>
      </c>
      <c r="W146" s="104"/>
      <c r="X146" s="359"/>
      <c r="Y146" s="358"/>
    </row>
    <row r="147" spans="1:25" x14ac:dyDescent="0.25">
      <c r="A147" s="524" t="s">
        <v>466</v>
      </c>
      <c r="B147" s="519" t="s">
        <v>115</v>
      </c>
      <c r="C147" s="519" t="str">
        <f>$C$124</f>
        <v>2.9.1.42</v>
      </c>
      <c r="D147" s="559" t="s">
        <v>434</v>
      </c>
      <c r="E147" s="525" t="s">
        <v>46</v>
      </c>
      <c r="F147" s="399"/>
      <c r="G147" s="399"/>
      <c r="H147" s="588"/>
      <c r="I147" s="399">
        <v>0</v>
      </c>
      <c r="J147" s="399">
        <v>0</v>
      </c>
      <c r="K147" s="399">
        <v>0</v>
      </c>
      <c r="L147" s="588">
        <f t="shared" ref="L147" si="282">SUM(I147:K147)</f>
        <v>0</v>
      </c>
      <c r="M147" s="530">
        <f t="shared" si="263"/>
        <v>0</v>
      </c>
      <c r="N147" s="102">
        <f>(ROUND(VLOOKUP(D147,Comp!$B$2:$M$23042,12,0),2))</f>
        <v>2.85</v>
      </c>
      <c r="O147" s="102">
        <f>ROUND(VLOOKUP(D147,Comp!$B$8:$M$23042,7,0),2)</f>
        <v>2.17</v>
      </c>
      <c r="P147" s="102">
        <f t="shared" si="277"/>
        <v>5.0199999999999996</v>
      </c>
      <c r="Q147" s="102">
        <f t="shared" si="278"/>
        <v>0</v>
      </c>
      <c r="R147" s="102">
        <f t="shared" si="279"/>
        <v>0</v>
      </c>
      <c r="S147" s="102">
        <f t="shared" si="280"/>
        <v>0</v>
      </c>
      <c r="T147" s="410">
        <f t="shared" si="268"/>
        <v>0.25</v>
      </c>
      <c r="U147" s="408">
        <f t="shared" si="281"/>
        <v>0</v>
      </c>
      <c r="V147" s="171">
        <f>+S147/Resumo!$D$33</f>
        <v>0</v>
      </c>
      <c r="W147" s="104"/>
      <c r="X147" s="359"/>
      <c r="Y147" s="358"/>
    </row>
    <row r="148" spans="1:25" x14ac:dyDescent="0.25">
      <c r="A148" s="524" t="s">
        <v>467</v>
      </c>
      <c r="B148" s="519" t="s">
        <v>94</v>
      </c>
      <c r="C148" s="519">
        <v>95802</v>
      </c>
      <c r="D148" s="559" t="s">
        <v>435</v>
      </c>
      <c r="E148" s="525" t="s">
        <v>46</v>
      </c>
      <c r="F148" s="399"/>
      <c r="G148" s="399"/>
      <c r="H148" s="588"/>
      <c r="I148" s="399">
        <v>0</v>
      </c>
      <c r="J148" s="399">
        <v>0</v>
      </c>
      <c r="K148" s="399">
        <v>0</v>
      </c>
      <c r="L148" s="588">
        <v>15</v>
      </c>
      <c r="M148" s="530">
        <f t="shared" si="263"/>
        <v>15</v>
      </c>
      <c r="N148" s="102">
        <v>16.760000000000002</v>
      </c>
      <c r="O148" s="102">
        <v>22.91</v>
      </c>
      <c r="P148" s="102">
        <f t="shared" si="277"/>
        <v>39.67</v>
      </c>
      <c r="Q148" s="102">
        <f t="shared" si="278"/>
        <v>251.4</v>
      </c>
      <c r="R148" s="102">
        <f t="shared" si="279"/>
        <v>343.65</v>
      </c>
      <c r="S148" s="102">
        <f t="shared" si="280"/>
        <v>595.04999999999995</v>
      </c>
      <c r="T148" s="410">
        <f t="shared" si="268"/>
        <v>0.25</v>
      </c>
      <c r="U148" s="408">
        <f t="shared" si="281"/>
        <v>743.81</v>
      </c>
      <c r="V148" s="171">
        <f>+S148/Resumo!$D$33</f>
        <v>1.4287605304909453E-3</v>
      </c>
      <c r="W148" s="104"/>
      <c r="X148" s="359"/>
      <c r="Y148" s="358"/>
    </row>
    <row r="149" spans="1:25" x14ac:dyDescent="0.25">
      <c r="A149" s="524" t="s">
        <v>468</v>
      </c>
      <c r="B149" s="519" t="s">
        <v>115</v>
      </c>
      <c r="C149" s="519" t="str">
        <f>$C$126</f>
        <v>2.9.1.44</v>
      </c>
      <c r="D149" s="559" t="s">
        <v>436</v>
      </c>
      <c r="E149" s="525" t="s">
        <v>46</v>
      </c>
      <c r="F149" s="399"/>
      <c r="G149" s="399"/>
      <c r="H149" s="588"/>
      <c r="I149" s="399">
        <v>0</v>
      </c>
      <c r="J149" s="399">
        <v>0</v>
      </c>
      <c r="K149" s="399">
        <v>0</v>
      </c>
      <c r="L149" s="588">
        <v>6</v>
      </c>
      <c r="M149" s="530">
        <f t="shared" si="263"/>
        <v>6</v>
      </c>
      <c r="N149" s="102">
        <f>(ROUND(VLOOKUP(D149,Comp!$B$2:$M$23042,12,0),2))</f>
        <v>1.99</v>
      </c>
      <c r="O149" s="102">
        <f>ROUND(VLOOKUP(D149,Comp!$B$8:$M$23042,7,0),2)</f>
        <v>4.29</v>
      </c>
      <c r="P149" s="102">
        <f t="shared" si="277"/>
        <v>6.28</v>
      </c>
      <c r="Q149" s="102">
        <f t="shared" si="278"/>
        <v>11.94</v>
      </c>
      <c r="R149" s="102">
        <f t="shared" si="279"/>
        <v>25.74</v>
      </c>
      <c r="S149" s="102">
        <f t="shared" si="280"/>
        <v>37.68</v>
      </c>
      <c r="T149" s="410">
        <f t="shared" si="268"/>
        <v>0.25</v>
      </c>
      <c r="U149" s="408">
        <f t="shared" si="281"/>
        <v>47.1</v>
      </c>
      <c r="V149" s="171">
        <f>+S149/Resumo!$D$33</f>
        <v>9.0472559934289267E-5</v>
      </c>
      <c r="W149" s="104"/>
      <c r="X149" s="359"/>
      <c r="Y149" s="358"/>
    </row>
    <row r="150" spans="1:25" ht="30" x14ac:dyDescent="0.25">
      <c r="A150" s="524" t="s">
        <v>469</v>
      </c>
      <c r="B150" s="519" t="s">
        <v>115</v>
      </c>
      <c r="C150" s="519" t="str">
        <f>C127</f>
        <v>2.9.1.45</v>
      </c>
      <c r="D150" s="559" t="s">
        <v>803</v>
      </c>
      <c r="E150" s="525" t="s">
        <v>46</v>
      </c>
      <c r="F150" s="399"/>
      <c r="G150" s="399"/>
      <c r="H150" s="588"/>
      <c r="I150" s="399">
        <v>0</v>
      </c>
      <c r="J150" s="399">
        <v>0</v>
      </c>
      <c r="K150" s="399">
        <v>0</v>
      </c>
      <c r="L150" s="588">
        <v>2</v>
      </c>
      <c r="M150" s="530">
        <f t="shared" si="263"/>
        <v>2</v>
      </c>
      <c r="N150" s="102">
        <f>(ROUND(VLOOKUP(D150,Comp!$B$2:$M$23042,12,0),2))</f>
        <v>2.99</v>
      </c>
      <c r="O150" s="102">
        <f>ROUND(VLOOKUP(D150,Comp!$B$8:$M$23042,7,0),2)</f>
        <v>10.31</v>
      </c>
      <c r="P150" s="102">
        <f t="shared" si="277"/>
        <v>13.3</v>
      </c>
      <c r="Q150" s="102">
        <f t="shared" si="278"/>
        <v>5.98</v>
      </c>
      <c r="R150" s="102">
        <f t="shared" si="279"/>
        <v>20.62</v>
      </c>
      <c r="S150" s="102">
        <f t="shared" si="280"/>
        <v>26.6</v>
      </c>
      <c r="T150" s="410">
        <f t="shared" si="268"/>
        <v>0.25</v>
      </c>
      <c r="U150" s="408">
        <f t="shared" si="281"/>
        <v>33.25</v>
      </c>
      <c r="V150" s="171">
        <f>+S150/Resumo!$D$33</f>
        <v>6.3868633074630959E-5</v>
      </c>
      <c r="W150" s="104"/>
      <c r="X150" s="359"/>
      <c r="Y150" s="358"/>
    </row>
    <row r="151" spans="1:25" x14ac:dyDescent="0.25">
      <c r="A151" s="524" t="s">
        <v>470</v>
      </c>
      <c r="B151" s="519" t="s">
        <v>94</v>
      </c>
      <c r="C151" s="519">
        <v>95746</v>
      </c>
      <c r="D151" s="559" t="s">
        <v>789</v>
      </c>
      <c r="E151" s="525" t="s">
        <v>58</v>
      </c>
      <c r="F151" s="399"/>
      <c r="G151" s="399"/>
      <c r="H151" s="588"/>
      <c r="I151" s="399">
        <v>0</v>
      </c>
      <c r="J151" s="399">
        <v>0</v>
      </c>
      <c r="K151" s="399">
        <v>0</v>
      </c>
      <c r="L151" s="588">
        <v>31</v>
      </c>
      <c r="M151" s="530">
        <f t="shared" si="263"/>
        <v>31</v>
      </c>
      <c r="N151" s="102">
        <v>5.89</v>
      </c>
      <c r="O151" s="102">
        <v>24.4</v>
      </c>
      <c r="P151" s="102">
        <f t="shared" si="277"/>
        <v>30.29</v>
      </c>
      <c r="Q151" s="102">
        <f t="shared" si="278"/>
        <v>182.59</v>
      </c>
      <c r="R151" s="102">
        <f t="shared" si="279"/>
        <v>756.4</v>
      </c>
      <c r="S151" s="102">
        <f t="shared" si="280"/>
        <v>938.99</v>
      </c>
      <c r="T151" s="410">
        <f t="shared" si="268"/>
        <v>0.25</v>
      </c>
      <c r="U151" s="408">
        <f t="shared" si="281"/>
        <v>1173.74</v>
      </c>
      <c r="V151" s="171">
        <f>+S151/Resumo!$D$33</f>
        <v>2.2545867582987864E-3</v>
      </c>
      <c r="W151" s="104"/>
      <c r="X151" s="359"/>
      <c r="Y151" s="358"/>
    </row>
    <row r="152" spans="1:25" ht="30" x14ac:dyDescent="0.25">
      <c r="A152" s="524" t="s">
        <v>471</v>
      </c>
      <c r="B152" s="519" t="s">
        <v>94</v>
      </c>
      <c r="C152" s="519">
        <v>95803</v>
      </c>
      <c r="D152" s="559" t="s">
        <v>805</v>
      </c>
      <c r="E152" s="525" t="s">
        <v>46</v>
      </c>
      <c r="F152" s="399"/>
      <c r="G152" s="399"/>
      <c r="H152" s="588"/>
      <c r="I152" s="399">
        <v>0</v>
      </c>
      <c r="J152" s="399">
        <v>0</v>
      </c>
      <c r="K152" s="399">
        <v>0</v>
      </c>
      <c r="L152" s="588">
        <v>2</v>
      </c>
      <c r="M152" s="530">
        <f t="shared" si="263"/>
        <v>2</v>
      </c>
      <c r="N152" s="102">
        <v>18.579999999999998</v>
      </c>
      <c r="O152" s="102">
        <v>34.72</v>
      </c>
      <c r="P152" s="102">
        <f t="shared" si="277"/>
        <v>53.3</v>
      </c>
      <c r="Q152" s="102">
        <f t="shared" si="278"/>
        <v>37.159999999999997</v>
      </c>
      <c r="R152" s="102">
        <f t="shared" si="279"/>
        <v>69.44</v>
      </c>
      <c r="S152" s="102">
        <f t="shared" si="280"/>
        <v>106.6</v>
      </c>
      <c r="T152" s="410">
        <f t="shared" si="268"/>
        <v>0.25</v>
      </c>
      <c r="U152" s="408">
        <f t="shared" si="281"/>
        <v>133.25</v>
      </c>
      <c r="V152" s="171">
        <f>+S152/Resumo!$D$33</f>
        <v>2.5595474758479921E-4</v>
      </c>
      <c r="W152" s="104"/>
      <c r="X152" s="359"/>
      <c r="Y152" s="358"/>
    </row>
    <row r="153" spans="1:25" x14ac:dyDescent="0.25">
      <c r="A153" s="524" t="s">
        <v>472</v>
      </c>
      <c r="B153" s="519" t="s">
        <v>94</v>
      </c>
      <c r="C153" s="519">
        <v>95747</v>
      </c>
      <c r="D153" s="559" t="s">
        <v>806</v>
      </c>
      <c r="E153" s="525" t="s">
        <v>58</v>
      </c>
      <c r="F153" s="399"/>
      <c r="G153" s="399"/>
      <c r="H153" s="588"/>
      <c r="I153" s="399">
        <v>0</v>
      </c>
      <c r="J153" s="399">
        <v>0</v>
      </c>
      <c r="K153" s="399">
        <v>0</v>
      </c>
      <c r="L153" s="588">
        <v>7</v>
      </c>
      <c r="M153" s="530">
        <f t="shared" si="263"/>
        <v>7</v>
      </c>
      <c r="N153" s="102">
        <v>7.25</v>
      </c>
      <c r="O153" s="102">
        <v>45.11</v>
      </c>
      <c r="P153" s="102">
        <f t="shared" si="277"/>
        <v>52.36</v>
      </c>
      <c r="Q153" s="102">
        <f t="shared" si="278"/>
        <v>50.75</v>
      </c>
      <c r="R153" s="102">
        <f t="shared" si="279"/>
        <v>315.77</v>
      </c>
      <c r="S153" s="102">
        <f t="shared" si="280"/>
        <v>366.52</v>
      </c>
      <c r="T153" s="410">
        <f t="shared" si="268"/>
        <v>0.25</v>
      </c>
      <c r="U153" s="408">
        <f t="shared" si="281"/>
        <v>458.15</v>
      </c>
      <c r="V153" s="171">
        <f>+S153/Resumo!$D$33</f>
        <v>8.8004253362833601E-4</v>
      </c>
      <c r="W153" s="104"/>
      <c r="X153" s="359"/>
      <c r="Y153" s="358"/>
    </row>
    <row r="154" spans="1:25" ht="30" x14ac:dyDescent="0.25">
      <c r="A154" s="524" t="s">
        <v>473</v>
      </c>
      <c r="B154" s="519" t="s">
        <v>115</v>
      </c>
      <c r="C154" s="519" t="str">
        <f>A154</f>
        <v>2.9.2.18</v>
      </c>
      <c r="D154" s="559" t="s">
        <v>455</v>
      </c>
      <c r="E154" s="525" t="s">
        <v>46</v>
      </c>
      <c r="F154" s="399"/>
      <c r="G154" s="399"/>
      <c r="H154" s="588"/>
      <c r="I154" s="399">
        <v>0</v>
      </c>
      <c r="J154" s="399">
        <v>0</v>
      </c>
      <c r="K154" s="399">
        <v>0</v>
      </c>
      <c r="L154" s="588">
        <v>1</v>
      </c>
      <c r="M154" s="530">
        <f t="shared" si="263"/>
        <v>1</v>
      </c>
      <c r="N154" s="102">
        <f>(ROUND(VLOOKUP(D154,Comp!$B$2:$M$23042,12,0),2))</f>
        <v>19.73</v>
      </c>
      <c r="O154" s="102">
        <f>ROUND(VLOOKUP(D154,Comp!$B$8:$M$23042,7,0),2)</f>
        <v>29.9</v>
      </c>
      <c r="P154" s="102">
        <f t="shared" si="277"/>
        <v>49.63</v>
      </c>
      <c r="Q154" s="102">
        <f t="shared" si="278"/>
        <v>19.73</v>
      </c>
      <c r="R154" s="102">
        <f t="shared" si="279"/>
        <v>29.9</v>
      </c>
      <c r="S154" s="102">
        <f t="shared" si="280"/>
        <v>49.63</v>
      </c>
      <c r="T154" s="410">
        <f t="shared" si="268"/>
        <v>0.25</v>
      </c>
      <c r="U154" s="408">
        <f t="shared" si="281"/>
        <v>62.04</v>
      </c>
      <c r="V154" s="171">
        <f>+S154/Resumo!$D$33</f>
        <v>1.1916542328924566E-4</v>
      </c>
      <c r="W154" s="104"/>
      <c r="X154" s="359"/>
      <c r="Y154" s="358"/>
    </row>
    <row r="155" spans="1:25" x14ac:dyDescent="0.25">
      <c r="A155" s="524" t="s">
        <v>474</v>
      </c>
      <c r="B155" s="519" t="s">
        <v>115</v>
      </c>
      <c r="C155" s="519" t="str">
        <f>A155</f>
        <v>2.9.2.19</v>
      </c>
      <c r="D155" s="559" t="s">
        <v>798</v>
      </c>
      <c r="E155" s="525" t="s">
        <v>46</v>
      </c>
      <c r="F155" s="399"/>
      <c r="G155" s="399"/>
      <c r="H155" s="588"/>
      <c r="I155" s="399">
        <v>0</v>
      </c>
      <c r="J155" s="399">
        <v>0</v>
      </c>
      <c r="K155" s="399">
        <v>0</v>
      </c>
      <c r="L155" s="588">
        <v>23</v>
      </c>
      <c r="M155" s="530">
        <f t="shared" si="263"/>
        <v>23</v>
      </c>
      <c r="N155" s="102">
        <f>(ROUND(VLOOKUP(D155,Comp!$B$2:$M$23042,12,0),2))</f>
        <v>7.41</v>
      </c>
      <c r="O155" s="102">
        <f>ROUND(VLOOKUP(D155,Comp!$B$8:$M$23042,7,0),2)</f>
        <v>0</v>
      </c>
      <c r="P155" s="102">
        <f t="shared" si="277"/>
        <v>7.41</v>
      </c>
      <c r="Q155" s="102">
        <f t="shared" si="278"/>
        <v>170.43</v>
      </c>
      <c r="R155" s="102">
        <f t="shared" si="279"/>
        <v>0</v>
      </c>
      <c r="S155" s="102">
        <f t="shared" si="280"/>
        <v>170.43</v>
      </c>
      <c r="T155" s="410">
        <f t="shared" si="268"/>
        <v>0.25</v>
      </c>
      <c r="U155" s="408">
        <f t="shared" si="281"/>
        <v>213.04</v>
      </c>
      <c r="V155" s="171">
        <f>+S155/Resumo!$D$33</f>
        <v>4.0921545619959979E-4</v>
      </c>
      <c r="W155" s="104"/>
      <c r="X155" s="359"/>
      <c r="Y155" s="358"/>
    </row>
    <row r="156" spans="1:25" x14ac:dyDescent="0.25">
      <c r="A156" s="524" t="s">
        <v>475</v>
      </c>
      <c r="B156" s="519" t="s">
        <v>115</v>
      </c>
      <c r="C156" s="519" t="str">
        <f>A156</f>
        <v>2.9.2.20</v>
      </c>
      <c r="D156" s="559" t="s">
        <v>904</v>
      </c>
      <c r="E156" s="525" t="s">
        <v>46</v>
      </c>
      <c r="F156" s="399"/>
      <c r="G156" s="399"/>
      <c r="H156" s="588"/>
      <c r="I156" s="399">
        <v>0</v>
      </c>
      <c r="J156" s="399">
        <v>0</v>
      </c>
      <c r="K156" s="399">
        <v>0</v>
      </c>
      <c r="L156" s="588">
        <v>23</v>
      </c>
      <c r="M156" s="530">
        <f t="shared" si="263"/>
        <v>23</v>
      </c>
      <c r="N156" s="102">
        <f>(ROUND(VLOOKUP(D156,Comp!$B$2:$M$23042,12,0),2))</f>
        <v>2.58</v>
      </c>
      <c r="O156" s="102">
        <f>ROUND(VLOOKUP(D156,Comp!$B$8:$M$23042,7,0),2)</f>
        <v>0</v>
      </c>
      <c r="P156" s="102">
        <f t="shared" si="277"/>
        <v>2.58</v>
      </c>
      <c r="Q156" s="102">
        <f t="shared" si="278"/>
        <v>59.34</v>
      </c>
      <c r="R156" s="102">
        <f t="shared" si="279"/>
        <v>0</v>
      </c>
      <c r="S156" s="102">
        <f t="shared" si="280"/>
        <v>59.34</v>
      </c>
      <c r="T156" s="410">
        <f t="shared" si="268"/>
        <v>0.25</v>
      </c>
      <c r="U156" s="408">
        <f t="shared" si="281"/>
        <v>74.180000000000007</v>
      </c>
      <c r="V156" s="171">
        <f>+S156/Resumo!$D$33</f>
        <v>1.4247987543791732E-4</v>
      </c>
      <c r="W156" s="104"/>
      <c r="X156" s="359"/>
      <c r="Y156" s="358"/>
    </row>
    <row r="157" spans="1:25" x14ac:dyDescent="0.25">
      <c r="A157" s="524" t="s">
        <v>804</v>
      </c>
      <c r="B157" s="519" t="s">
        <v>115</v>
      </c>
      <c r="C157" s="519" t="str">
        <f>A157</f>
        <v>2.9.2.21</v>
      </c>
      <c r="D157" s="559" t="s">
        <v>477</v>
      </c>
      <c r="E157" s="525" t="s">
        <v>46</v>
      </c>
      <c r="F157" s="399"/>
      <c r="G157" s="399"/>
      <c r="H157" s="588"/>
      <c r="I157" s="399">
        <v>0</v>
      </c>
      <c r="J157" s="399">
        <v>0</v>
      </c>
      <c r="K157" s="399">
        <v>0</v>
      </c>
      <c r="L157" s="588">
        <v>27</v>
      </c>
      <c r="M157" s="530">
        <f t="shared" si="263"/>
        <v>27</v>
      </c>
      <c r="N157" s="102">
        <f>(ROUND(VLOOKUP(D157,Comp!$B$2:$M$23042,12,0),2))</f>
        <v>4.5199999999999996</v>
      </c>
      <c r="O157" s="102">
        <f>ROUND(VLOOKUP(D157,Comp!$B$8:$M$23042,7,0),2)</f>
        <v>0</v>
      </c>
      <c r="P157" s="102">
        <f t="shared" si="277"/>
        <v>4.5199999999999996</v>
      </c>
      <c r="Q157" s="102">
        <f t="shared" si="278"/>
        <v>122.04</v>
      </c>
      <c r="R157" s="102">
        <f t="shared" si="279"/>
        <v>0</v>
      </c>
      <c r="S157" s="102">
        <f t="shared" si="280"/>
        <v>122.04</v>
      </c>
      <c r="T157" s="410">
        <f t="shared" si="268"/>
        <v>0.25</v>
      </c>
      <c r="U157" s="408">
        <f t="shared" si="281"/>
        <v>152.55000000000001</v>
      </c>
      <c r="V157" s="171">
        <f>+S157/Resumo!$D$33</f>
        <v>2.9302736768526175E-4</v>
      </c>
      <c r="W157" s="104"/>
      <c r="X157" s="359"/>
      <c r="Y157" s="358"/>
    </row>
    <row r="158" spans="1:25" ht="15.75" x14ac:dyDescent="0.25">
      <c r="A158" s="339" t="s">
        <v>332</v>
      </c>
      <c r="B158" s="393"/>
      <c r="C158" s="393"/>
      <c r="D158" s="63" t="s">
        <v>484</v>
      </c>
      <c r="E158" s="132"/>
      <c r="F158" s="404"/>
      <c r="G158" s="404"/>
      <c r="H158" s="404"/>
      <c r="I158" s="404"/>
      <c r="J158" s="404"/>
      <c r="K158" s="404"/>
      <c r="L158" s="404"/>
      <c r="M158" s="45"/>
      <c r="N158" s="45"/>
      <c r="O158" s="45"/>
      <c r="P158" s="45"/>
      <c r="Q158" s="45">
        <f>Q159+Q180</f>
        <v>526.80000000000007</v>
      </c>
      <c r="R158" s="45">
        <f>R159+R180</f>
        <v>1720.6100000000001</v>
      </c>
      <c r="S158" s="45">
        <f t="shared" ref="S158:U158" si="283">S159+S180</f>
        <v>2247.4</v>
      </c>
      <c r="T158" s="45"/>
      <c r="U158" s="45">
        <f t="shared" si="283"/>
        <v>2809.2899999999995</v>
      </c>
      <c r="V158" s="172">
        <f>+S158/Resumo!$D$33</f>
        <v>5.3961791718769025E-3</v>
      </c>
      <c r="W158" s="104" t="s">
        <v>86</v>
      </c>
      <c r="X158" s="359"/>
      <c r="Y158" s="358"/>
    </row>
    <row r="159" spans="1:25" s="28" customFormat="1" x14ac:dyDescent="0.25">
      <c r="A159" s="106" t="s">
        <v>535</v>
      </c>
      <c r="B159" s="392"/>
      <c r="C159" s="392"/>
      <c r="D159" s="65" t="s">
        <v>627</v>
      </c>
      <c r="E159" s="134"/>
      <c r="F159" s="403"/>
      <c r="G159" s="403"/>
      <c r="H159" s="403"/>
      <c r="I159" s="403"/>
      <c r="J159" s="403"/>
      <c r="K159" s="403"/>
      <c r="L159" s="403"/>
      <c r="M159" s="46"/>
      <c r="N159" s="46"/>
      <c r="O159" s="46"/>
      <c r="P159" s="46"/>
      <c r="Q159" s="46">
        <f>SUM(Q160:Q179)</f>
        <v>352.85000000000008</v>
      </c>
      <c r="R159" s="46">
        <f t="shared" ref="R159:U159" si="284">SUM(R160:R179)</f>
        <v>1293.67</v>
      </c>
      <c r="S159" s="46">
        <f t="shared" si="284"/>
        <v>1646.51</v>
      </c>
      <c r="T159" s="46"/>
      <c r="U159" s="46">
        <f t="shared" si="284"/>
        <v>2058.1699999999996</v>
      </c>
      <c r="V159" s="173">
        <f>+S159/Resumo!$D$33</f>
        <v>3.9533963550267151E-3</v>
      </c>
      <c r="W159" s="104" t="s">
        <v>86</v>
      </c>
      <c r="X159" s="125"/>
      <c r="Y159" s="358"/>
    </row>
    <row r="160" spans="1:25" s="72" customFormat="1" ht="30" x14ac:dyDescent="0.25">
      <c r="A160" s="517" t="s">
        <v>631</v>
      </c>
      <c r="B160" s="518" t="s">
        <v>94</v>
      </c>
      <c r="C160" s="519">
        <v>100856</v>
      </c>
      <c r="D160" s="559" t="s">
        <v>629</v>
      </c>
      <c r="E160" s="521" t="s">
        <v>46</v>
      </c>
      <c r="F160" s="399"/>
      <c r="G160" s="399"/>
      <c r="H160" s="588"/>
      <c r="I160" s="399">
        <v>0</v>
      </c>
      <c r="J160" s="399">
        <v>0</v>
      </c>
      <c r="K160" s="399">
        <v>0</v>
      </c>
      <c r="L160" s="588">
        <f t="shared" ref="L160:L179" si="285">SUM(I160:K160)</f>
        <v>0</v>
      </c>
      <c r="M160" s="530">
        <v>4</v>
      </c>
      <c r="N160" s="102">
        <v>1.95</v>
      </c>
      <c r="O160" s="102">
        <v>33.43</v>
      </c>
      <c r="P160" s="102">
        <f t="shared" ref="P160" si="286">+ROUND(N160+O160,2)</f>
        <v>35.380000000000003</v>
      </c>
      <c r="Q160" s="102">
        <f t="shared" ref="Q160" si="287">ROUND(N160*M160,2)</f>
        <v>7.8</v>
      </c>
      <c r="R160" s="102">
        <f t="shared" ref="R160" si="288">ROUND(O160*M160,2)</f>
        <v>133.72</v>
      </c>
      <c r="S160" s="102">
        <f t="shared" ref="S160" si="289">ROUND(P160*M160,2)</f>
        <v>141.52000000000001</v>
      </c>
      <c r="T160" s="410">
        <f t="shared" ref="T160:T202" si="290">$M$6</f>
        <v>0.25</v>
      </c>
      <c r="U160" s="408">
        <f t="shared" ref="U160" si="291">ROUND(S160*(1+T160),2)</f>
        <v>176.9</v>
      </c>
      <c r="V160" s="171">
        <f>+S160/Resumo!$D$33</f>
        <v>3.3980033656848773E-4</v>
      </c>
      <c r="W160" s="104"/>
      <c r="X160" s="124"/>
      <c r="Y160" s="358"/>
    </row>
    <row r="161" spans="1:25" s="72" customFormat="1" ht="30" x14ac:dyDescent="0.25">
      <c r="A161" s="517" t="s">
        <v>632</v>
      </c>
      <c r="B161" s="518" t="s">
        <v>94</v>
      </c>
      <c r="C161" s="519">
        <v>89383</v>
      </c>
      <c r="D161" s="559" t="s">
        <v>630</v>
      </c>
      <c r="E161" s="521" t="s">
        <v>46</v>
      </c>
      <c r="F161" s="399"/>
      <c r="G161" s="399"/>
      <c r="H161" s="588"/>
      <c r="I161" s="399">
        <v>0</v>
      </c>
      <c r="J161" s="399">
        <v>0</v>
      </c>
      <c r="K161" s="399">
        <v>0</v>
      </c>
      <c r="L161" s="588">
        <f t="shared" si="285"/>
        <v>0</v>
      </c>
      <c r="M161" s="530">
        <v>4</v>
      </c>
      <c r="N161" s="102">
        <v>2.83</v>
      </c>
      <c r="O161" s="102">
        <v>3.14</v>
      </c>
      <c r="P161" s="102">
        <f t="shared" ref="P161:P179" si="292">+ROUND(N161+O161,2)</f>
        <v>5.97</v>
      </c>
      <c r="Q161" s="102">
        <f t="shared" ref="Q161:Q179" si="293">ROUND(N161*M161,2)</f>
        <v>11.32</v>
      </c>
      <c r="R161" s="102">
        <f t="shared" ref="R161:R179" si="294">ROUND(O161*M161,2)</f>
        <v>12.56</v>
      </c>
      <c r="S161" s="102">
        <f t="shared" ref="S161:S179" si="295">ROUND(P161*M161,2)</f>
        <v>23.88</v>
      </c>
      <c r="T161" s="410">
        <f t="shared" si="290"/>
        <v>0.25</v>
      </c>
      <c r="U161" s="408">
        <f t="shared" ref="U161:U179" si="296">ROUND(S161*(1+T161),2)</f>
        <v>29.85</v>
      </c>
      <c r="V161" s="171">
        <f>+S161/Resumo!$D$33</f>
        <v>5.7337705181285229E-5</v>
      </c>
      <c r="W161" s="104"/>
      <c r="X161" s="124"/>
      <c r="Y161" s="358"/>
    </row>
    <row r="162" spans="1:25" s="72" customFormat="1" x14ac:dyDescent="0.25">
      <c r="A162" s="517" t="s">
        <v>633</v>
      </c>
      <c r="B162" s="518" t="s">
        <v>94</v>
      </c>
      <c r="C162" s="519">
        <v>89759</v>
      </c>
      <c r="D162" s="559" t="s">
        <v>884</v>
      </c>
      <c r="E162" s="521" t="s">
        <v>46</v>
      </c>
      <c r="F162" s="399"/>
      <c r="G162" s="399"/>
      <c r="H162" s="588"/>
      <c r="I162" s="399">
        <v>0</v>
      </c>
      <c r="J162" s="399">
        <v>0</v>
      </c>
      <c r="K162" s="399">
        <v>0</v>
      </c>
      <c r="L162" s="588">
        <f t="shared" si="285"/>
        <v>0</v>
      </c>
      <c r="M162" s="530">
        <v>1</v>
      </c>
      <c r="N162" s="102">
        <v>1.83</v>
      </c>
      <c r="O162" s="102">
        <v>5.15</v>
      </c>
      <c r="P162" s="102">
        <f t="shared" si="292"/>
        <v>6.98</v>
      </c>
      <c r="Q162" s="102">
        <f t="shared" si="293"/>
        <v>1.83</v>
      </c>
      <c r="R162" s="102">
        <f t="shared" si="294"/>
        <v>5.15</v>
      </c>
      <c r="S162" s="102">
        <f t="shared" si="295"/>
        <v>6.98</v>
      </c>
      <c r="T162" s="410">
        <f t="shared" si="290"/>
        <v>0.25</v>
      </c>
      <c r="U162" s="408">
        <f t="shared" si="296"/>
        <v>8.73</v>
      </c>
      <c r="V162" s="171">
        <f>+S162/Resumo!$D$33</f>
        <v>1.6759513491012186E-5</v>
      </c>
      <c r="W162" s="104"/>
      <c r="X162" s="124"/>
      <c r="Y162" s="358"/>
    </row>
    <row r="163" spans="1:25" s="72" customFormat="1" x14ac:dyDescent="0.25">
      <c r="A163" s="517" t="s">
        <v>634</v>
      </c>
      <c r="B163" s="518" t="s">
        <v>94</v>
      </c>
      <c r="C163" s="519">
        <v>89664</v>
      </c>
      <c r="D163" s="559" t="s">
        <v>808</v>
      </c>
      <c r="E163" s="521" t="s">
        <v>46</v>
      </c>
      <c r="F163" s="399"/>
      <c r="G163" s="399"/>
      <c r="H163" s="588"/>
      <c r="I163" s="399">
        <v>0</v>
      </c>
      <c r="J163" s="399">
        <v>0</v>
      </c>
      <c r="K163" s="399">
        <v>0</v>
      </c>
      <c r="L163" s="588">
        <f t="shared" si="285"/>
        <v>0</v>
      </c>
      <c r="M163" s="530">
        <v>0</v>
      </c>
      <c r="N163" s="102">
        <v>2.59</v>
      </c>
      <c r="O163" s="102">
        <v>12.24</v>
      </c>
      <c r="P163" s="102">
        <f t="shared" si="292"/>
        <v>14.83</v>
      </c>
      <c r="Q163" s="102">
        <f t="shared" si="293"/>
        <v>0</v>
      </c>
      <c r="R163" s="102">
        <f t="shared" si="294"/>
        <v>0</v>
      </c>
      <c r="S163" s="102">
        <f t="shared" si="295"/>
        <v>0</v>
      </c>
      <c r="T163" s="410">
        <f t="shared" si="290"/>
        <v>0.25</v>
      </c>
      <c r="U163" s="408">
        <f t="shared" si="296"/>
        <v>0</v>
      </c>
      <c r="V163" s="171">
        <f>+S163/Resumo!$D$33</f>
        <v>0</v>
      </c>
      <c r="W163" s="104"/>
      <c r="X163" s="124"/>
      <c r="Y163" s="358"/>
    </row>
    <row r="164" spans="1:25" s="72" customFormat="1" x14ac:dyDescent="0.25">
      <c r="A164" s="517" t="s">
        <v>635</v>
      </c>
      <c r="B164" s="518" t="s">
        <v>94</v>
      </c>
      <c r="C164" s="519">
        <v>89641</v>
      </c>
      <c r="D164" s="559" t="s">
        <v>710</v>
      </c>
      <c r="E164" s="521" t="s">
        <v>46</v>
      </c>
      <c r="F164" s="399"/>
      <c r="G164" s="399"/>
      <c r="H164" s="588"/>
      <c r="I164" s="399">
        <v>0</v>
      </c>
      <c r="J164" s="399">
        <v>0</v>
      </c>
      <c r="K164" s="399">
        <v>0</v>
      </c>
      <c r="L164" s="588">
        <f t="shared" si="285"/>
        <v>0</v>
      </c>
      <c r="M164" s="530">
        <v>13</v>
      </c>
      <c r="N164" s="102">
        <v>3.89</v>
      </c>
      <c r="O164" s="102">
        <v>7.94</v>
      </c>
      <c r="P164" s="102">
        <f t="shared" si="292"/>
        <v>11.83</v>
      </c>
      <c r="Q164" s="102">
        <f t="shared" si="293"/>
        <v>50.57</v>
      </c>
      <c r="R164" s="102">
        <f t="shared" si="294"/>
        <v>103.22</v>
      </c>
      <c r="S164" s="102">
        <f t="shared" si="295"/>
        <v>153.79</v>
      </c>
      <c r="T164" s="410">
        <f t="shared" si="290"/>
        <v>0.25</v>
      </c>
      <c r="U164" s="408">
        <f t="shared" si="296"/>
        <v>192.24</v>
      </c>
      <c r="V164" s="171">
        <f>+S164/Resumo!$D$33</f>
        <v>3.6926154438148473E-4</v>
      </c>
      <c r="W164" s="104"/>
      <c r="X164" s="124"/>
      <c r="Y164" s="358"/>
    </row>
    <row r="165" spans="1:25" s="72" customFormat="1" x14ac:dyDescent="0.25">
      <c r="A165" s="517" t="s">
        <v>636</v>
      </c>
      <c r="B165" s="518" t="s">
        <v>94</v>
      </c>
      <c r="C165" s="519">
        <v>89644</v>
      </c>
      <c r="D165" s="559" t="s">
        <v>711</v>
      </c>
      <c r="E165" s="521" t="s">
        <v>46</v>
      </c>
      <c r="F165" s="399"/>
      <c r="G165" s="399"/>
      <c r="H165" s="588"/>
      <c r="I165" s="399">
        <v>0</v>
      </c>
      <c r="J165" s="399">
        <v>0</v>
      </c>
      <c r="K165" s="399">
        <v>0</v>
      </c>
      <c r="L165" s="588">
        <f t="shared" si="285"/>
        <v>0</v>
      </c>
      <c r="M165" s="530">
        <v>3</v>
      </c>
      <c r="N165" s="102">
        <v>3.88</v>
      </c>
      <c r="O165" s="102">
        <v>19.850000000000001</v>
      </c>
      <c r="P165" s="102">
        <f t="shared" si="292"/>
        <v>23.73</v>
      </c>
      <c r="Q165" s="102">
        <f t="shared" si="293"/>
        <v>11.64</v>
      </c>
      <c r="R165" s="102">
        <f t="shared" si="294"/>
        <v>59.55</v>
      </c>
      <c r="S165" s="102">
        <f t="shared" si="295"/>
        <v>71.19</v>
      </c>
      <c r="T165" s="410">
        <f t="shared" si="290"/>
        <v>0.25</v>
      </c>
      <c r="U165" s="408">
        <f t="shared" si="296"/>
        <v>88.99</v>
      </c>
      <c r="V165" s="171">
        <f>+S165/Resumo!$D$33</f>
        <v>1.7093263114973599E-4</v>
      </c>
      <c r="W165" s="104"/>
      <c r="X165" s="124"/>
      <c r="Y165" s="358"/>
    </row>
    <row r="166" spans="1:25" s="72" customFormat="1" x14ac:dyDescent="0.25">
      <c r="A166" s="517" t="s">
        <v>637</v>
      </c>
      <c r="B166" s="518" t="s">
        <v>94</v>
      </c>
      <c r="C166" s="519">
        <v>89362</v>
      </c>
      <c r="D166" s="559" t="s">
        <v>644</v>
      </c>
      <c r="E166" s="521" t="s">
        <v>46</v>
      </c>
      <c r="F166" s="399"/>
      <c r="G166" s="399"/>
      <c r="H166" s="588"/>
      <c r="I166" s="399">
        <v>0</v>
      </c>
      <c r="J166" s="399">
        <v>0</v>
      </c>
      <c r="K166" s="399">
        <v>0</v>
      </c>
      <c r="L166" s="588">
        <f t="shared" si="285"/>
        <v>0</v>
      </c>
      <c r="M166" s="530">
        <v>14</v>
      </c>
      <c r="N166" s="102">
        <v>4.25</v>
      </c>
      <c r="O166" s="102">
        <v>3.33</v>
      </c>
      <c r="P166" s="102">
        <f t="shared" si="292"/>
        <v>7.58</v>
      </c>
      <c r="Q166" s="102">
        <f t="shared" si="293"/>
        <v>59.5</v>
      </c>
      <c r="R166" s="102">
        <f t="shared" si="294"/>
        <v>46.62</v>
      </c>
      <c r="S166" s="102">
        <f t="shared" si="295"/>
        <v>106.12</v>
      </c>
      <c r="T166" s="410">
        <f t="shared" si="290"/>
        <v>0.25</v>
      </c>
      <c r="U166" s="408">
        <f t="shared" si="296"/>
        <v>132.65</v>
      </c>
      <c r="V166" s="171">
        <f>+S166/Resumo!$D$33</f>
        <v>2.5480223089773826E-4</v>
      </c>
      <c r="W166" s="104"/>
      <c r="X166" s="124"/>
      <c r="Y166" s="358"/>
    </row>
    <row r="167" spans="1:25" s="72" customFormat="1" ht="30" x14ac:dyDescent="0.25">
      <c r="A167" s="517" t="s">
        <v>638</v>
      </c>
      <c r="B167" s="518" t="s">
        <v>94</v>
      </c>
      <c r="C167" s="519">
        <v>89396</v>
      </c>
      <c r="D167" s="559" t="s">
        <v>645</v>
      </c>
      <c r="E167" s="521" t="s">
        <v>46</v>
      </c>
      <c r="F167" s="399"/>
      <c r="G167" s="399"/>
      <c r="H167" s="588"/>
      <c r="I167" s="399">
        <v>0</v>
      </c>
      <c r="J167" s="399">
        <v>0</v>
      </c>
      <c r="K167" s="399">
        <v>0</v>
      </c>
      <c r="L167" s="588">
        <f t="shared" si="285"/>
        <v>0</v>
      </c>
      <c r="M167" s="530">
        <v>3</v>
      </c>
      <c r="N167" s="102">
        <v>5.63</v>
      </c>
      <c r="O167" s="102">
        <v>15.08</v>
      </c>
      <c r="P167" s="102">
        <f t="shared" si="292"/>
        <v>20.71</v>
      </c>
      <c r="Q167" s="102">
        <f t="shared" si="293"/>
        <v>16.89</v>
      </c>
      <c r="R167" s="102">
        <f t="shared" si="294"/>
        <v>45.24</v>
      </c>
      <c r="S167" s="102">
        <f t="shared" si="295"/>
        <v>62.13</v>
      </c>
      <c r="T167" s="410">
        <f t="shared" si="290"/>
        <v>0.25</v>
      </c>
      <c r="U167" s="408">
        <f t="shared" si="296"/>
        <v>77.66</v>
      </c>
      <c r="V167" s="171">
        <f>+S167/Resumo!$D$33</f>
        <v>1.4917887868145946E-4</v>
      </c>
      <c r="W167" s="104"/>
      <c r="X167" s="124"/>
      <c r="Y167" s="358"/>
    </row>
    <row r="168" spans="1:25" s="72" customFormat="1" x14ac:dyDescent="0.25">
      <c r="A168" s="517" t="s">
        <v>639</v>
      </c>
      <c r="B168" s="518" t="s">
        <v>94</v>
      </c>
      <c r="C168" s="519">
        <v>89380</v>
      </c>
      <c r="D168" s="559" t="s">
        <v>809</v>
      </c>
      <c r="E168" s="521" t="s">
        <v>46</v>
      </c>
      <c r="F168" s="399"/>
      <c r="G168" s="399"/>
      <c r="H168" s="588"/>
      <c r="I168" s="399">
        <v>0</v>
      </c>
      <c r="J168" s="399">
        <v>0</v>
      </c>
      <c r="K168" s="399">
        <v>0</v>
      </c>
      <c r="L168" s="588">
        <f t="shared" si="285"/>
        <v>0</v>
      </c>
      <c r="M168" s="530">
        <v>1</v>
      </c>
      <c r="N168" s="102">
        <v>2.82</v>
      </c>
      <c r="O168" s="102">
        <v>6.86</v>
      </c>
      <c r="P168" s="102">
        <f t="shared" si="292"/>
        <v>9.68</v>
      </c>
      <c r="Q168" s="102">
        <f t="shared" si="293"/>
        <v>2.82</v>
      </c>
      <c r="R168" s="102">
        <f t="shared" si="294"/>
        <v>6.86</v>
      </c>
      <c r="S168" s="102">
        <f t="shared" si="295"/>
        <v>9.68</v>
      </c>
      <c r="T168" s="410">
        <f t="shared" si="290"/>
        <v>0.25</v>
      </c>
      <c r="U168" s="408">
        <f t="shared" si="296"/>
        <v>12.1</v>
      </c>
      <c r="V168" s="171">
        <f>+S168/Resumo!$D$33</f>
        <v>2.3242419855730361E-5</v>
      </c>
      <c r="W168" s="104"/>
      <c r="X168" s="124"/>
      <c r="Y168" s="358"/>
    </row>
    <row r="169" spans="1:25" s="72" customFormat="1" x14ac:dyDescent="0.25">
      <c r="A169" s="517" t="s">
        <v>640</v>
      </c>
      <c r="B169" s="518" t="s">
        <v>94</v>
      </c>
      <c r="C169" s="519">
        <v>89660</v>
      </c>
      <c r="D169" s="559" t="s">
        <v>712</v>
      </c>
      <c r="E169" s="521" t="s">
        <v>46</v>
      </c>
      <c r="F169" s="399"/>
      <c r="G169" s="399"/>
      <c r="H169" s="588"/>
      <c r="I169" s="399">
        <v>0</v>
      </c>
      <c r="J169" s="399">
        <v>0</v>
      </c>
      <c r="K169" s="399">
        <v>0</v>
      </c>
      <c r="L169" s="588">
        <f t="shared" si="285"/>
        <v>0</v>
      </c>
      <c r="M169" s="530">
        <v>4</v>
      </c>
      <c r="N169" s="102">
        <v>2.6</v>
      </c>
      <c r="O169" s="102">
        <v>4.75</v>
      </c>
      <c r="P169" s="102">
        <f t="shared" si="292"/>
        <v>7.35</v>
      </c>
      <c r="Q169" s="102">
        <f t="shared" si="293"/>
        <v>10.4</v>
      </c>
      <c r="R169" s="102">
        <f t="shared" si="294"/>
        <v>19</v>
      </c>
      <c r="S169" s="102">
        <f t="shared" si="295"/>
        <v>29.4</v>
      </c>
      <c r="T169" s="410">
        <f t="shared" si="290"/>
        <v>0.25</v>
      </c>
      <c r="U169" s="408">
        <f t="shared" si="296"/>
        <v>36.75</v>
      </c>
      <c r="V169" s="171">
        <f>+S169/Resumo!$D$33</f>
        <v>7.0591647082486839E-5</v>
      </c>
      <c r="W169" s="104"/>
      <c r="X169" s="124"/>
      <c r="Y169" s="358"/>
    </row>
    <row r="170" spans="1:25" s="72" customFormat="1" x14ac:dyDescent="0.25">
      <c r="A170" s="517" t="s">
        <v>641</v>
      </c>
      <c r="B170" s="518" t="s">
        <v>94</v>
      </c>
      <c r="C170" s="519">
        <v>89353</v>
      </c>
      <c r="D170" s="559" t="s">
        <v>646</v>
      </c>
      <c r="E170" s="521" t="s">
        <v>46</v>
      </c>
      <c r="F170" s="399"/>
      <c r="G170" s="399"/>
      <c r="H170" s="588"/>
      <c r="I170" s="399">
        <v>0</v>
      </c>
      <c r="J170" s="399">
        <v>0</v>
      </c>
      <c r="K170" s="399">
        <v>0</v>
      </c>
      <c r="L170" s="588">
        <f t="shared" si="285"/>
        <v>0</v>
      </c>
      <c r="M170" s="530">
        <v>4</v>
      </c>
      <c r="N170" s="102">
        <v>5.63</v>
      </c>
      <c r="O170" s="102">
        <v>34.57</v>
      </c>
      <c r="P170" s="102">
        <f t="shared" si="292"/>
        <v>40.200000000000003</v>
      </c>
      <c r="Q170" s="102">
        <f t="shared" si="293"/>
        <v>22.52</v>
      </c>
      <c r="R170" s="102">
        <f t="shared" si="294"/>
        <v>138.28</v>
      </c>
      <c r="S170" s="102">
        <f t="shared" si="295"/>
        <v>160.80000000000001</v>
      </c>
      <c r="T170" s="410">
        <f t="shared" si="290"/>
        <v>0.25</v>
      </c>
      <c r="U170" s="408">
        <f t="shared" si="296"/>
        <v>201</v>
      </c>
      <c r="V170" s="171">
        <f>+S170/Resumo!$D$33</f>
        <v>3.8609309016543827E-4</v>
      </c>
      <c r="W170" s="104"/>
      <c r="X170" s="124"/>
      <c r="Y170" s="358"/>
    </row>
    <row r="171" spans="1:25" s="72" customFormat="1" x14ac:dyDescent="0.25">
      <c r="A171" s="517" t="s">
        <v>642</v>
      </c>
      <c r="B171" s="518" t="s">
        <v>94</v>
      </c>
      <c r="C171" s="519">
        <v>89705</v>
      </c>
      <c r="D171" s="559" t="s">
        <v>812</v>
      </c>
      <c r="E171" s="521" t="s">
        <v>46</v>
      </c>
      <c r="F171" s="399"/>
      <c r="G171" s="399"/>
      <c r="H171" s="588"/>
      <c r="I171" s="399">
        <v>0</v>
      </c>
      <c r="J171" s="399">
        <v>0</v>
      </c>
      <c r="K171" s="399">
        <v>0</v>
      </c>
      <c r="L171" s="588">
        <f t="shared" si="285"/>
        <v>0</v>
      </c>
      <c r="M171" s="530">
        <v>1</v>
      </c>
      <c r="N171" s="102">
        <v>6.09</v>
      </c>
      <c r="O171" s="102">
        <v>16.21</v>
      </c>
      <c r="P171" s="102">
        <f t="shared" si="292"/>
        <v>22.3</v>
      </c>
      <c r="Q171" s="102">
        <f t="shared" si="293"/>
        <v>6.09</v>
      </c>
      <c r="R171" s="102">
        <f t="shared" si="294"/>
        <v>16.21</v>
      </c>
      <c r="S171" s="102">
        <f t="shared" si="295"/>
        <v>22.3</v>
      </c>
      <c r="T171" s="410">
        <f t="shared" si="290"/>
        <v>0.25</v>
      </c>
      <c r="U171" s="408">
        <f t="shared" si="296"/>
        <v>27.88</v>
      </c>
      <c r="V171" s="171">
        <f>+S171/Resumo!$D$33</f>
        <v>5.3544004419709411E-5</v>
      </c>
      <c r="W171" s="104"/>
      <c r="X171" s="124"/>
      <c r="Y171" s="358"/>
    </row>
    <row r="172" spans="1:25" s="72" customFormat="1" x14ac:dyDescent="0.25">
      <c r="A172" s="517" t="s">
        <v>643</v>
      </c>
      <c r="B172" s="518" t="s">
        <v>94</v>
      </c>
      <c r="C172" s="519">
        <v>89400</v>
      </c>
      <c r="D172" s="559" t="s">
        <v>813</v>
      </c>
      <c r="E172" s="521" t="s">
        <v>46</v>
      </c>
      <c r="F172" s="399"/>
      <c r="G172" s="399"/>
      <c r="H172" s="588"/>
      <c r="I172" s="399">
        <v>0</v>
      </c>
      <c r="J172" s="399">
        <v>0</v>
      </c>
      <c r="K172" s="399">
        <v>0</v>
      </c>
      <c r="L172" s="588">
        <f t="shared" si="285"/>
        <v>0</v>
      </c>
      <c r="M172" s="530">
        <v>1</v>
      </c>
      <c r="N172" s="102">
        <v>6.71</v>
      </c>
      <c r="O172" s="102">
        <v>12.48</v>
      </c>
      <c r="P172" s="102">
        <f t="shared" si="292"/>
        <v>19.190000000000001</v>
      </c>
      <c r="Q172" s="102">
        <f t="shared" si="293"/>
        <v>6.71</v>
      </c>
      <c r="R172" s="102">
        <f t="shared" si="294"/>
        <v>12.48</v>
      </c>
      <c r="S172" s="102">
        <f t="shared" si="295"/>
        <v>19.190000000000001</v>
      </c>
      <c r="T172" s="410">
        <f t="shared" si="290"/>
        <v>0.25</v>
      </c>
      <c r="U172" s="408">
        <f t="shared" si="296"/>
        <v>23.99</v>
      </c>
      <c r="V172" s="171">
        <f>+S172/Resumo!$D$33</f>
        <v>4.607665671812662E-5</v>
      </c>
      <c r="W172" s="104"/>
      <c r="X172" s="124"/>
      <c r="Y172" s="358"/>
    </row>
    <row r="173" spans="1:25" s="72" customFormat="1" x14ac:dyDescent="0.25">
      <c r="A173" s="517" t="s">
        <v>807</v>
      </c>
      <c r="B173" s="518" t="s">
        <v>94</v>
      </c>
      <c r="C173" s="519">
        <v>89697</v>
      </c>
      <c r="D173" s="559" t="s">
        <v>713</v>
      </c>
      <c r="E173" s="521" t="s">
        <v>46</v>
      </c>
      <c r="F173" s="399"/>
      <c r="G173" s="399"/>
      <c r="H173" s="588"/>
      <c r="I173" s="399">
        <v>0</v>
      </c>
      <c r="J173" s="399">
        <v>0</v>
      </c>
      <c r="K173" s="399">
        <v>0</v>
      </c>
      <c r="L173" s="588">
        <f t="shared" si="285"/>
        <v>0</v>
      </c>
      <c r="M173" s="530">
        <v>2</v>
      </c>
      <c r="N173" s="102">
        <v>5.15</v>
      </c>
      <c r="O173" s="102">
        <v>7.56</v>
      </c>
      <c r="P173" s="102">
        <f t="shared" si="292"/>
        <v>12.71</v>
      </c>
      <c r="Q173" s="102">
        <f t="shared" si="293"/>
        <v>10.3</v>
      </c>
      <c r="R173" s="102">
        <f t="shared" si="294"/>
        <v>15.12</v>
      </c>
      <c r="S173" s="102">
        <f t="shared" si="295"/>
        <v>25.42</v>
      </c>
      <c r="T173" s="410">
        <f t="shared" si="290"/>
        <v>0.25</v>
      </c>
      <c r="U173" s="408">
        <f t="shared" si="296"/>
        <v>31.78</v>
      </c>
      <c r="V173" s="171">
        <f>+S173/Resumo!$D$33</f>
        <v>6.1035362885605978E-5</v>
      </c>
      <c r="W173" s="104"/>
      <c r="X173" s="124"/>
      <c r="Y173" s="358"/>
    </row>
    <row r="174" spans="1:25" s="72" customFormat="1" x14ac:dyDescent="0.25">
      <c r="A174" s="517" t="s">
        <v>810</v>
      </c>
      <c r="B174" s="518" t="s">
        <v>94</v>
      </c>
      <c r="C174" s="519">
        <v>89395</v>
      </c>
      <c r="D174" s="559" t="s">
        <v>647</v>
      </c>
      <c r="E174" s="521" t="s">
        <v>46</v>
      </c>
      <c r="F174" s="399"/>
      <c r="G174" s="399"/>
      <c r="H174" s="588"/>
      <c r="I174" s="399">
        <v>0</v>
      </c>
      <c r="J174" s="399">
        <v>0</v>
      </c>
      <c r="K174" s="399">
        <v>0</v>
      </c>
      <c r="L174" s="588">
        <f t="shared" si="285"/>
        <v>0</v>
      </c>
      <c r="M174" s="530">
        <v>2</v>
      </c>
      <c r="N174" s="102">
        <v>5.65</v>
      </c>
      <c r="O174" s="102">
        <v>5.07</v>
      </c>
      <c r="P174" s="102">
        <f t="shared" si="292"/>
        <v>10.72</v>
      </c>
      <c r="Q174" s="102">
        <f t="shared" si="293"/>
        <v>11.3</v>
      </c>
      <c r="R174" s="102">
        <f t="shared" si="294"/>
        <v>10.14</v>
      </c>
      <c r="S174" s="102">
        <f t="shared" si="295"/>
        <v>21.44</v>
      </c>
      <c r="T174" s="410">
        <f t="shared" si="290"/>
        <v>0.25</v>
      </c>
      <c r="U174" s="408">
        <f t="shared" si="296"/>
        <v>26.8</v>
      </c>
      <c r="V174" s="171">
        <f>+S174/Resumo!$D$33</f>
        <v>5.1479078688725105E-5</v>
      </c>
      <c r="W174" s="104"/>
      <c r="X174" s="124"/>
      <c r="Y174" s="358"/>
    </row>
    <row r="175" spans="1:25" s="72" customFormat="1" x14ac:dyDescent="0.25">
      <c r="A175" s="517" t="s">
        <v>811</v>
      </c>
      <c r="B175" s="518" t="s">
        <v>94</v>
      </c>
      <c r="C175" s="519">
        <v>89716</v>
      </c>
      <c r="D175" s="559" t="s">
        <v>714</v>
      </c>
      <c r="E175" s="521" t="s">
        <v>58</v>
      </c>
      <c r="F175" s="399"/>
      <c r="G175" s="399"/>
      <c r="H175" s="588"/>
      <c r="I175" s="399">
        <v>0</v>
      </c>
      <c r="J175" s="399">
        <v>0</v>
      </c>
      <c r="K175" s="399">
        <v>0</v>
      </c>
      <c r="L175" s="588">
        <f t="shared" si="285"/>
        <v>0</v>
      </c>
      <c r="M175" s="530">
        <v>15.23</v>
      </c>
      <c r="N175" s="102">
        <v>2.9</v>
      </c>
      <c r="O175" s="102">
        <v>21.62</v>
      </c>
      <c r="P175" s="102">
        <f t="shared" si="292"/>
        <v>24.52</v>
      </c>
      <c r="Q175" s="102">
        <f t="shared" si="293"/>
        <v>44.17</v>
      </c>
      <c r="R175" s="102">
        <f t="shared" si="294"/>
        <v>329.27</v>
      </c>
      <c r="S175" s="102">
        <f t="shared" si="295"/>
        <v>373.44</v>
      </c>
      <c r="T175" s="410">
        <f t="shared" si="290"/>
        <v>0.25</v>
      </c>
      <c r="U175" s="408">
        <f t="shared" si="296"/>
        <v>466.8</v>
      </c>
      <c r="V175" s="171">
        <f>+S175/Resumo!$D$33</f>
        <v>8.9665798253346553E-4</v>
      </c>
      <c r="W175" s="104"/>
      <c r="X175" s="124"/>
      <c r="Y175" s="358"/>
    </row>
    <row r="176" spans="1:25" s="72" customFormat="1" x14ac:dyDescent="0.25">
      <c r="A176" s="517" t="s">
        <v>815</v>
      </c>
      <c r="B176" s="518" t="s">
        <v>94</v>
      </c>
      <c r="C176" s="519">
        <v>89717</v>
      </c>
      <c r="D176" s="559" t="s">
        <v>814</v>
      </c>
      <c r="E176" s="521" t="s">
        <v>58</v>
      </c>
      <c r="F176" s="399"/>
      <c r="G176" s="399"/>
      <c r="H176" s="588"/>
      <c r="I176" s="399">
        <v>0</v>
      </c>
      <c r="J176" s="399">
        <v>0</v>
      </c>
      <c r="K176" s="399">
        <v>0</v>
      </c>
      <c r="L176" s="588">
        <f t="shared" si="285"/>
        <v>0</v>
      </c>
      <c r="M176" s="530">
        <v>4.04</v>
      </c>
      <c r="N176" s="102">
        <v>3.42</v>
      </c>
      <c r="O176" s="102">
        <v>34.380000000000003</v>
      </c>
      <c r="P176" s="102">
        <f t="shared" si="292"/>
        <v>37.799999999999997</v>
      </c>
      <c r="Q176" s="102">
        <f t="shared" si="293"/>
        <v>13.82</v>
      </c>
      <c r="R176" s="102">
        <f t="shared" si="294"/>
        <v>138.9</v>
      </c>
      <c r="S176" s="102">
        <f t="shared" si="295"/>
        <v>152.71</v>
      </c>
      <c r="T176" s="410">
        <f t="shared" si="290"/>
        <v>0.25</v>
      </c>
      <c r="U176" s="408">
        <f t="shared" si="296"/>
        <v>190.89</v>
      </c>
      <c r="V176" s="171">
        <f>+S176/Resumo!$D$33</f>
        <v>3.6666838183559749E-4</v>
      </c>
      <c r="W176" s="104"/>
      <c r="X176" s="124"/>
      <c r="Y176" s="358"/>
    </row>
    <row r="177" spans="1:25" s="72" customFormat="1" x14ac:dyDescent="0.25">
      <c r="A177" s="517" t="s">
        <v>816</v>
      </c>
      <c r="B177" s="518" t="s">
        <v>94</v>
      </c>
      <c r="C177" s="519">
        <v>89451</v>
      </c>
      <c r="D177" s="559" t="s">
        <v>715</v>
      </c>
      <c r="E177" s="521" t="s">
        <v>58</v>
      </c>
      <c r="F177" s="399"/>
      <c r="G177" s="399"/>
      <c r="H177" s="588"/>
      <c r="I177" s="399">
        <v>0</v>
      </c>
      <c r="J177" s="399">
        <v>0</v>
      </c>
      <c r="K177" s="399">
        <v>0</v>
      </c>
      <c r="L177" s="588">
        <f t="shared" si="285"/>
        <v>0</v>
      </c>
      <c r="M177" s="530">
        <v>1</v>
      </c>
      <c r="N177" s="102">
        <v>1.1599999999999999</v>
      </c>
      <c r="O177" s="102">
        <v>55.5</v>
      </c>
      <c r="P177" s="102">
        <f t="shared" si="292"/>
        <v>56.66</v>
      </c>
      <c r="Q177" s="102">
        <f t="shared" si="293"/>
        <v>1.1599999999999999</v>
      </c>
      <c r="R177" s="102">
        <f t="shared" si="294"/>
        <v>55.5</v>
      </c>
      <c r="S177" s="102">
        <f t="shared" si="295"/>
        <v>56.66</v>
      </c>
      <c r="T177" s="410">
        <f t="shared" si="290"/>
        <v>0.25</v>
      </c>
      <c r="U177" s="408">
        <f t="shared" si="296"/>
        <v>70.83</v>
      </c>
      <c r="V177" s="171">
        <f>+S177/Resumo!$D$33</f>
        <v>1.3604499060182668E-4</v>
      </c>
      <c r="W177" s="104"/>
      <c r="X177" s="124"/>
      <c r="Y177" s="358"/>
    </row>
    <row r="178" spans="1:25" s="72" customFormat="1" x14ac:dyDescent="0.25">
      <c r="A178" s="517" t="s">
        <v>817</v>
      </c>
      <c r="B178" s="518" t="s">
        <v>94</v>
      </c>
      <c r="C178" s="519">
        <v>89403</v>
      </c>
      <c r="D178" s="559" t="s">
        <v>818</v>
      </c>
      <c r="E178" s="521" t="s">
        <v>58</v>
      </c>
      <c r="F178" s="399"/>
      <c r="G178" s="399"/>
      <c r="H178" s="588"/>
      <c r="I178" s="399">
        <v>0</v>
      </c>
      <c r="J178" s="399">
        <v>0</v>
      </c>
      <c r="K178" s="399">
        <v>0</v>
      </c>
      <c r="L178" s="588">
        <f t="shared" si="285"/>
        <v>0</v>
      </c>
      <c r="M178" s="530">
        <v>4.1100000000000003</v>
      </c>
      <c r="N178" s="102">
        <v>3.77</v>
      </c>
      <c r="O178" s="102">
        <v>12.8</v>
      </c>
      <c r="P178" s="102">
        <f t="shared" si="292"/>
        <v>16.57</v>
      </c>
      <c r="Q178" s="102">
        <f t="shared" si="293"/>
        <v>15.49</v>
      </c>
      <c r="R178" s="102">
        <f t="shared" si="294"/>
        <v>52.61</v>
      </c>
      <c r="S178" s="102">
        <f t="shared" si="295"/>
        <v>68.099999999999994</v>
      </c>
      <c r="T178" s="410">
        <f t="shared" si="290"/>
        <v>0.25</v>
      </c>
      <c r="U178" s="408">
        <f t="shared" si="296"/>
        <v>85.13</v>
      </c>
      <c r="V178" s="171">
        <f>+S178/Resumo!$D$33</f>
        <v>1.6351330497678073E-4</v>
      </c>
      <c r="W178" s="104"/>
      <c r="X178" s="124"/>
      <c r="Y178" s="358"/>
    </row>
    <row r="179" spans="1:25" s="72" customFormat="1" x14ac:dyDescent="0.25">
      <c r="A179" s="517" t="s">
        <v>819</v>
      </c>
      <c r="B179" s="518" t="s">
        <v>94</v>
      </c>
      <c r="C179" s="519">
        <v>89402</v>
      </c>
      <c r="D179" s="559" t="s">
        <v>648</v>
      </c>
      <c r="E179" s="521" t="s">
        <v>58</v>
      </c>
      <c r="F179" s="399"/>
      <c r="G179" s="399"/>
      <c r="H179" s="588"/>
      <c r="I179" s="399">
        <v>0</v>
      </c>
      <c r="J179" s="399">
        <v>0</v>
      </c>
      <c r="K179" s="399">
        <v>0</v>
      </c>
      <c r="L179" s="588">
        <f t="shared" si="285"/>
        <v>0</v>
      </c>
      <c r="M179" s="530">
        <v>15.21</v>
      </c>
      <c r="N179" s="102">
        <v>3.19</v>
      </c>
      <c r="O179" s="102">
        <v>6.13</v>
      </c>
      <c r="P179" s="102">
        <f t="shared" si="292"/>
        <v>9.32</v>
      </c>
      <c r="Q179" s="102">
        <f t="shared" si="293"/>
        <v>48.52</v>
      </c>
      <c r="R179" s="102">
        <f t="shared" si="294"/>
        <v>93.24</v>
      </c>
      <c r="S179" s="102">
        <f t="shared" si="295"/>
        <v>141.76</v>
      </c>
      <c r="T179" s="410">
        <f t="shared" si="290"/>
        <v>0.25</v>
      </c>
      <c r="U179" s="408">
        <f t="shared" si="296"/>
        <v>177.2</v>
      </c>
      <c r="V179" s="171">
        <f>+S179/Resumo!$D$33</f>
        <v>3.4037659491201818E-4</v>
      </c>
      <c r="W179" s="104"/>
      <c r="X179" s="124"/>
      <c r="Y179" s="358"/>
    </row>
    <row r="180" spans="1:25" s="28" customFormat="1" x14ac:dyDescent="0.25">
      <c r="A180" s="106" t="s">
        <v>536</v>
      </c>
      <c r="B180" s="392"/>
      <c r="C180" s="392"/>
      <c r="D180" s="65" t="s">
        <v>628</v>
      </c>
      <c r="E180" s="134"/>
      <c r="F180" s="403"/>
      <c r="G180" s="403"/>
      <c r="H180" s="403"/>
      <c r="I180" s="403"/>
      <c r="J180" s="403"/>
      <c r="K180" s="403"/>
      <c r="L180" s="403"/>
      <c r="M180" s="46"/>
      <c r="N180" s="46"/>
      <c r="O180" s="46"/>
      <c r="P180" s="46">
        <f>SUM(P181:P202)</f>
        <v>786.72</v>
      </c>
      <c r="Q180" s="46">
        <f>SUM(Q181:Q202)</f>
        <v>173.95</v>
      </c>
      <c r="R180" s="46">
        <f>SUM(R181:R202)</f>
        <v>426.94000000000005</v>
      </c>
      <c r="S180" s="46">
        <f>SUM(S181:S202)</f>
        <v>600.89</v>
      </c>
      <c r="T180" s="46"/>
      <c r="U180" s="46">
        <f>SUM(U181:U202)</f>
        <v>751.12</v>
      </c>
      <c r="V180" s="173">
        <f>+S180/Resumo!$D$33</f>
        <v>1.4427828168501876E-3</v>
      </c>
      <c r="W180" s="104" t="s">
        <v>86</v>
      </c>
      <c r="X180" s="125"/>
      <c r="Y180" s="358"/>
    </row>
    <row r="181" spans="1:25" s="72" customFormat="1" x14ac:dyDescent="0.25">
      <c r="A181" s="517" t="s">
        <v>649</v>
      </c>
      <c r="B181" s="518" t="s">
        <v>115</v>
      </c>
      <c r="C181" s="519" t="str">
        <f t="shared" ref="C181:C198" si="297">A181</f>
        <v>2.10.2.1</v>
      </c>
      <c r="D181" s="559" t="s">
        <v>693</v>
      </c>
      <c r="E181" s="521" t="s">
        <v>46</v>
      </c>
      <c r="F181" s="399"/>
      <c r="G181" s="399"/>
      <c r="H181" s="588"/>
      <c r="I181" s="399">
        <v>0</v>
      </c>
      <c r="J181" s="399">
        <v>0</v>
      </c>
      <c r="K181" s="399">
        <v>0</v>
      </c>
      <c r="L181" s="588">
        <f t="shared" ref="L181:L202" si="298">SUM(I181:K181)</f>
        <v>0</v>
      </c>
      <c r="M181" s="530">
        <v>0</v>
      </c>
      <c r="N181" s="102">
        <f>(ROUND(VLOOKUP(D181,Comp!$B$2:$M$23042,12,0),2))</f>
        <v>10.79</v>
      </c>
      <c r="O181" s="102">
        <f>ROUND(VLOOKUP(D181,Comp!$B$8:$M$23042,7,0),2)</f>
        <v>52.55</v>
      </c>
      <c r="P181" s="102">
        <f t="shared" ref="P181" si="299">+ROUND(N181+O181,2)</f>
        <v>63.34</v>
      </c>
      <c r="Q181" s="102">
        <f t="shared" ref="Q181" si="300">ROUND(N181*M181,2)</f>
        <v>0</v>
      </c>
      <c r="R181" s="102">
        <f t="shared" ref="R181" si="301">ROUND(O181*M181,2)</f>
        <v>0</v>
      </c>
      <c r="S181" s="102">
        <f t="shared" ref="S181" si="302">ROUND(P181*M181,2)</f>
        <v>0</v>
      </c>
      <c r="T181" s="410">
        <f t="shared" si="290"/>
        <v>0.25</v>
      </c>
      <c r="U181" s="408">
        <f t="shared" ref="U181" si="303">ROUND(S181*(1+T181),2)</f>
        <v>0</v>
      </c>
      <c r="V181" s="171">
        <f>+S181/Resumo!$D$33</f>
        <v>0</v>
      </c>
      <c r="W181" s="104"/>
      <c r="X181" s="124"/>
      <c r="Y181" s="358"/>
    </row>
    <row r="182" spans="1:25" s="72" customFormat="1" ht="12.75" customHeight="1" x14ac:dyDescent="0.25">
      <c r="A182" s="517" t="s">
        <v>650</v>
      </c>
      <c r="B182" s="518" t="s">
        <v>115</v>
      </c>
      <c r="C182" s="522" t="str">
        <f>A182</f>
        <v>2.10.2.2</v>
      </c>
      <c r="D182" s="559" t="s">
        <v>820</v>
      </c>
      <c r="E182" s="521" t="s">
        <v>46</v>
      </c>
      <c r="F182" s="399"/>
      <c r="G182" s="399"/>
      <c r="H182" s="588"/>
      <c r="I182" s="399">
        <v>0</v>
      </c>
      <c r="J182" s="399">
        <v>0</v>
      </c>
      <c r="K182" s="399">
        <v>0</v>
      </c>
      <c r="L182" s="588">
        <f t="shared" si="298"/>
        <v>0</v>
      </c>
      <c r="M182" s="530">
        <v>0</v>
      </c>
      <c r="N182" s="102">
        <f>(ROUND(VLOOKUP(D182,Comp!$B$2:$M$23042,12,0),2))</f>
        <v>17.989999999999998</v>
      </c>
      <c r="O182" s="102">
        <f>ROUND(VLOOKUP(D182,Comp!$B$8:$M$23042,7,0),2)</f>
        <v>127.41</v>
      </c>
      <c r="P182" s="102">
        <f t="shared" ref="P182:P202" si="304">+ROUND(N182+O182,2)</f>
        <v>145.4</v>
      </c>
      <c r="Q182" s="102">
        <f t="shared" ref="Q182:Q202" si="305">ROUND(N182*M182,2)</f>
        <v>0</v>
      </c>
      <c r="R182" s="102">
        <f t="shared" ref="R182:R202" si="306">ROUND(O182*M182,2)</f>
        <v>0</v>
      </c>
      <c r="S182" s="102">
        <f t="shared" ref="S182:S202" si="307">ROUND(P182*M182,2)</f>
        <v>0</v>
      </c>
      <c r="T182" s="410">
        <f t="shared" si="290"/>
        <v>0.25</v>
      </c>
      <c r="U182" s="408">
        <f t="shared" ref="U182:U202" si="308">ROUND(S182*(1+T182),2)</f>
        <v>0</v>
      </c>
      <c r="V182" s="171">
        <f>+S182/Resumo!$D$33</f>
        <v>0</v>
      </c>
      <c r="W182" s="104"/>
      <c r="X182" s="124"/>
      <c r="Y182" s="358"/>
    </row>
    <row r="183" spans="1:25" s="72" customFormat="1" x14ac:dyDescent="0.25">
      <c r="A183" s="517" t="s">
        <v>651</v>
      </c>
      <c r="B183" s="518" t="s">
        <v>115</v>
      </c>
      <c r="C183" s="519" t="str">
        <f t="shared" si="297"/>
        <v>2.10.2.3</v>
      </c>
      <c r="D183" s="559" t="s">
        <v>671</v>
      </c>
      <c r="E183" s="521" t="s">
        <v>46</v>
      </c>
      <c r="F183" s="399"/>
      <c r="G183" s="399"/>
      <c r="H183" s="588"/>
      <c r="I183" s="399">
        <v>0</v>
      </c>
      <c r="J183" s="399">
        <v>0</v>
      </c>
      <c r="K183" s="399">
        <v>0</v>
      </c>
      <c r="L183" s="588">
        <f t="shared" si="298"/>
        <v>0</v>
      </c>
      <c r="M183" s="530">
        <v>0</v>
      </c>
      <c r="N183" s="102">
        <f>(ROUND(VLOOKUP(D183,Comp!$B$2:$M$23042,12,0),2))</f>
        <v>1.8</v>
      </c>
      <c r="O183" s="102">
        <f>ROUND(VLOOKUP(D183,Comp!$B$8:$M$23042,7,0),2)</f>
        <v>35.47</v>
      </c>
      <c r="P183" s="102">
        <f t="shared" si="304"/>
        <v>37.270000000000003</v>
      </c>
      <c r="Q183" s="102">
        <f t="shared" si="305"/>
        <v>0</v>
      </c>
      <c r="R183" s="102">
        <f t="shared" si="306"/>
        <v>0</v>
      </c>
      <c r="S183" s="102">
        <f t="shared" si="307"/>
        <v>0</v>
      </c>
      <c r="T183" s="410">
        <f t="shared" si="290"/>
        <v>0.25</v>
      </c>
      <c r="U183" s="408">
        <f t="shared" si="308"/>
        <v>0</v>
      </c>
      <c r="V183" s="171">
        <f>+S183/Resumo!$D$33</f>
        <v>0</v>
      </c>
      <c r="W183" s="104"/>
      <c r="X183" s="124"/>
      <c r="Y183" s="358"/>
    </row>
    <row r="184" spans="1:25" s="72" customFormat="1" x14ac:dyDescent="0.25">
      <c r="A184" s="517" t="s">
        <v>652</v>
      </c>
      <c r="B184" s="518" t="s">
        <v>115</v>
      </c>
      <c r="C184" s="519" t="str">
        <f t="shared" si="297"/>
        <v>2.10.2.4</v>
      </c>
      <c r="D184" s="559" t="s">
        <v>672</v>
      </c>
      <c r="E184" s="521" t="s">
        <v>46</v>
      </c>
      <c r="F184" s="399"/>
      <c r="G184" s="399"/>
      <c r="H184" s="588"/>
      <c r="I184" s="399">
        <v>0</v>
      </c>
      <c r="J184" s="399">
        <v>0</v>
      </c>
      <c r="K184" s="399">
        <v>0</v>
      </c>
      <c r="L184" s="588">
        <f t="shared" si="298"/>
        <v>0</v>
      </c>
      <c r="M184" s="530">
        <v>0</v>
      </c>
      <c r="N184" s="102">
        <f>(ROUND(VLOOKUP(D184,Comp!$B$2:$M$23042,12,0),2))</f>
        <v>1.8</v>
      </c>
      <c r="O184" s="102">
        <f>ROUND(VLOOKUP(D184,Comp!$B$8:$M$23042,7,0),2)</f>
        <v>4.83</v>
      </c>
      <c r="P184" s="102">
        <f t="shared" si="304"/>
        <v>6.63</v>
      </c>
      <c r="Q184" s="102">
        <f t="shared" si="305"/>
        <v>0</v>
      </c>
      <c r="R184" s="102">
        <f t="shared" si="306"/>
        <v>0</v>
      </c>
      <c r="S184" s="102">
        <f t="shared" si="307"/>
        <v>0</v>
      </c>
      <c r="T184" s="410">
        <f t="shared" si="290"/>
        <v>0.25</v>
      </c>
      <c r="U184" s="408">
        <f t="shared" si="308"/>
        <v>0</v>
      </c>
      <c r="V184" s="171">
        <f>+S184/Resumo!$D$33</f>
        <v>0</v>
      </c>
      <c r="W184" s="104"/>
      <c r="X184" s="124"/>
      <c r="Y184" s="358"/>
    </row>
    <row r="185" spans="1:25" s="72" customFormat="1" x14ac:dyDescent="0.25">
      <c r="A185" s="517" t="s">
        <v>653</v>
      </c>
      <c r="B185" s="518" t="s">
        <v>94</v>
      </c>
      <c r="C185" s="519">
        <v>89732</v>
      </c>
      <c r="D185" s="559" t="s">
        <v>673</v>
      </c>
      <c r="E185" s="521" t="s">
        <v>46</v>
      </c>
      <c r="F185" s="399"/>
      <c r="G185" s="399"/>
      <c r="H185" s="588"/>
      <c r="I185" s="399">
        <v>0</v>
      </c>
      <c r="J185" s="399">
        <v>0</v>
      </c>
      <c r="K185" s="399">
        <v>0</v>
      </c>
      <c r="L185" s="588">
        <f t="shared" si="298"/>
        <v>0</v>
      </c>
      <c r="M185" s="530">
        <v>1</v>
      </c>
      <c r="N185" s="102">
        <v>3.67</v>
      </c>
      <c r="O185" s="102">
        <v>7.27</v>
      </c>
      <c r="P185" s="102">
        <f t="shared" si="304"/>
        <v>10.94</v>
      </c>
      <c r="Q185" s="102">
        <f t="shared" si="305"/>
        <v>3.67</v>
      </c>
      <c r="R185" s="102">
        <f t="shared" si="306"/>
        <v>7.27</v>
      </c>
      <c r="S185" s="102">
        <f t="shared" si="307"/>
        <v>10.94</v>
      </c>
      <c r="T185" s="410">
        <f t="shared" si="290"/>
        <v>0.25</v>
      </c>
      <c r="U185" s="408">
        <f t="shared" si="308"/>
        <v>13.68</v>
      </c>
      <c r="V185" s="171">
        <f>+S185/Resumo!$D$33</f>
        <v>2.6267776159265512E-5</v>
      </c>
      <c r="W185" s="104"/>
      <c r="X185" s="124"/>
      <c r="Y185" s="358"/>
    </row>
    <row r="186" spans="1:25" s="72" customFormat="1" x14ac:dyDescent="0.25">
      <c r="A186" s="517" t="s">
        <v>654</v>
      </c>
      <c r="B186" s="518" t="s">
        <v>115</v>
      </c>
      <c r="C186" s="519" t="str">
        <f t="shared" si="297"/>
        <v>2.10.2.6</v>
      </c>
      <c r="D186" s="559" t="s">
        <v>675</v>
      </c>
      <c r="E186" s="521" t="s">
        <v>46</v>
      </c>
      <c r="F186" s="399"/>
      <c r="G186" s="399"/>
      <c r="H186" s="588"/>
      <c r="I186" s="399">
        <v>0</v>
      </c>
      <c r="J186" s="399">
        <v>0</v>
      </c>
      <c r="K186" s="399">
        <v>0</v>
      </c>
      <c r="L186" s="588">
        <f t="shared" si="298"/>
        <v>0</v>
      </c>
      <c r="M186" s="530">
        <v>0</v>
      </c>
      <c r="N186" s="102">
        <f>(ROUND(VLOOKUP(D186,Comp!$B$2:$M$23042,12,0),2))</f>
        <v>2.7</v>
      </c>
      <c r="O186" s="102">
        <f>ROUND(VLOOKUP(D186,Comp!$B$8:$M$23042,7,0),2)</f>
        <v>4.83</v>
      </c>
      <c r="P186" s="102">
        <f t="shared" si="304"/>
        <v>7.53</v>
      </c>
      <c r="Q186" s="102">
        <f t="shared" si="305"/>
        <v>0</v>
      </c>
      <c r="R186" s="102">
        <f t="shared" si="306"/>
        <v>0</v>
      </c>
      <c r="S186" s="102">
        <f t="shared" si="307"/>
        <v>0</v>
      </c>
      <c r="T186" s="410">
        <f t="shared" si="290"/>
        <v>0.25</v>
      </c>
      <c r="U186" s="408">
        <f t="shared" si="308"/>
        <v>0</v>
      </c>
      <c r="V186" s="171">
        <f>+S186/Resumo!$D$33</f>
        <v>0</v>
      </c>
      <c r="W186" s="104"/>
      <c r="X186" s="124"/>
      <c r="Y186" s="358"/>
    </row>
    <row r="187" spans="1:25" s="72" customFormat="1" x14ac:dyDescent="0.25">
      <c r="A187" s="517" t="s">
        <v>655</v>
      </c>
      <c r="B187" s="518" t="s">
        <v>94</v>
      </c>
      <c r="C187" s="519">
        <v>89801</v>
      </c>
      <c r="D187" s="559" t="s">
        <v>674</v>
      </c>
      <c r="E187" s="521" t="s">
        <v>46</v>
      </c>
      <c r="F187" s="399"/>
      <c r="G187" s="399"/>
      <c r="H187" s="588"/>
      <c r="I187" s="399">
        <v>0</v>
      </c>
      <c r="J187" s="399">
        <v>0</v>
      </c>
      <c r="K187" s="399">
        <v>0</v>
      </c>
      <c r="L187" s="588">
        <f t="shared" si="298"/>
        <v>0</v>
      </c>
      <c r="M187" s="530">
        <v>8</v>
      </c>
      <c r="N187" s="102">
        <v>1.1100000000000001</v>
      </c>
      <c r="O187" s="102">
        <v>5.84</v>
      </c>
      <c r="P187" s="102">
        <f t="shared" si="304"/>
        <v>6.95</v>
      </c>
      <c r="Q187" s="102">
        <f t="shared" si="305"/>
        <v>8.8800000000000008</v>
      </c>
      <c r="R187" s="102">
        <f t="shared" si="306"/>
        <v>46.72</v>
      </c>
      <c r="S187" s="102">
        <f t="shared" si="307"/>
        <v>55.6</v>
      </c>
      <c r="T187" s="410">
        <f t="shared" si="290"/>
        <v>0.25</v>
      </c>
      <c r="U187" s="408">
        <f t="shared" si="308"/>
        <v>69.5</v>
      </c>
      <c r="V187" s="171">
        <f>+S187/Resumo!$D$33</f>
        <v>1.3349984958456695E-4</v>
      </c>
      <c r="W187" s="104"/>
      <c r="X187" s="124"/>
      <c r="Y187" s="358"/>
    </row>
    <row r="188" spans="1:25" s="72" customFormat="1" ht="12.75" customHeight="1" x14ac:dyDescent="0.25">
      <c r="A188" s="517" t="s">
        <v>656</v>
      </c>
      <c r="B188" s="518" t="s">
        <v>94</v>
      </c>
      <c r="C188" s="519">
        <v>89805</v>
      </c>
      <c r="D188" s="559" t="s">
        <v>821</v>
      </c>
      <c r="E188" s="521" t="s">
        <v>46</v>
      </c>
      <c r="F188" s="399"/>
      <c r="G188" s="399"/>
      <c r="H188" s="588"/>
      <c r="I188" s="399">
        <v>0</v>
      </c>
      <c r="J188" s="399">
        <v>0</v>
      </c>
      <c r="K188" s="399">
        <v>0</v>
      </c>
      <c r="L188" s="588">
        <f t="shared" si="298"/>
        <v>0</v>
      </c>
      <c r="M188" s="530">
        <v>0</v>
      </c>
      <c r="N188" s="102">
        <v>2.2400000000000002</v>
      </c>
      <c r="O188" s="102">
        <v>12.1</v>
      </c>
      <c r="P188" s="102">
        <f t="shared" si="304"/>
        <v>14.34</v>
      </c>
      <c r="Q188" s="102">
        <f t="shared" si="305"/>
        <v>0</v>
      </c>
      <c r="R188" s="102">
        <f t="shared" si="306"/>
        <v>0</v>
      </c>
      <c r="S188" s="102">
        <f t="shared" si="307"/>
        <v>0</v>
      </c>
      <c r="T188" s="410">
        <f t="shared" si="290"/>
        <v>0.25</v>
      </c>
      <c r="U188" s="408">
        <f t="shared" si="308"/>
        <v>0</v>
      </c>
      <c r="V188" s="171">
        <f>+S188/Resumo!$D$33</f>
        <v>0</v>
      </c>
      <c r="W188" s="104"/>
      <c r="X188" s="124"/>
      <c r="Y188" s="358"/>
    </row>
    <row r="189" spans="1:25" s="72" customFormat="1" x14ac:dyDescent="0.25">
      <c r="A189" s="517" t="s">
        <v>657</v>
      </c>
      <c r="B189" s="518" t="s">
        <v>115</v>
      </c>
      <c r="C189" s="519" t="str">
        <f t="shared" si="297"/>
        <v>2.10.2.9</v>
      </c>
      <c r="D189" s="559" t="s">
        <v>676</v>
      </c>
      <c r="E189" s="521" t="s">
        <v>46</v>
      </c>
      <c r="F189" s="399"/>
      <c r="G189" s="399"/>
      <c r="H189" s="588"/>
      <c r="I189" s="399">
        <v>0</v>
      </c>
      <c r="J189" s="399">
        <v>0</v>
      </c>
      <c r="K189" s="399">
        <v>0</v>
      </c>
      <c r="L189" s="588">
        <f t="shared" si="298"/>
        <v>0</v>
      </c>
      <c r="M189" s="530">
        <v>0</v>
      </c>
      <c r="N189" s="102">
        <f>(ROUND(VLOOKUP(D189,Comp!$B$2:$M$23042,12,0),2))</f>
        <v>6.65</v>
      </c>
      <c r="O189" s="102">
        <f>ROUND(VLOOKUP(D189,Comp!$B$8:$M$23042,7,0),2)</f>
        <v>27.65</v>
      </c>
      <c r="P189" s="102">
        <f t="shared" si="304"/>
        <v>34.299999999999997</v>
      </c>
      <c r="Q189" s="102">
        <f t="shared" si="305"/>
        <v>0</v>
      </c>
      <c r="R189" s="102">
        <f t="shared" si="306"/>
        <v>0</v>
      </c>
      <c r="S189" s="102">
        <f t="shared" si="307"/>
        <v>0</v>
      </c>
      <c r="T189" s="410">
        <f t="shared" si="290"/>
        <v>0.25</v>
      </c>
      <c r="U189" s="408">
        <f t="shared" si="308"/>
        <v>0</v>
      </c>
      <c r="V189" s="171">
        <f>+S189/Resumo!$D$33</f>
        <v>0</v>
      </c>
      <c r="W189" s="104"/>
      <c r="X189" s="124"/>
      <c r="Y189" s="358"/>
    </row>
    <row r="190" spans="1:25" s="72" customFormat="1" x14ac:dyDescent="0.25">
      <c r="A190" s="517" t="s">
        <v>658</v>
      </c>
      <c r="B190" s="518" t="s">
        <v>115</v>
      </c>
      <c r="C190" s="519" t="str">
        <f t="shared" si="297"/>
        <v>2.10.2.10</v>
      </c>
      <c r="D190" s="559" t="s">
        <v>677</v>
      </c>
      <c r="E190" s="521" t="s">
        <v>46</v>
      </c>
      <c r="F190" s="399"/>
      <c r="G190" s="399"/>
      <c r="H190" s="588"/>
      <c r="I190" s="399">
        <v>0</v>
      </c>
      <c r="J190" s="399">
        <v>0</v>
      </c>
      <c r="K190" s="399">
        <v>0</v>
      </c>
      <c r="L190" s="588">
        <f t="shared" si="298"/>
        <v>0</v>
      </c>
      <c r="M190" s="530">
        <v>2</v>
      </c>
      <c r="N190" s="102">
        <f>(ROUND(VLOOKUP(D190,Comp!$B$2:$M$23042,12,0),2))</f>
        <v>2.88</v>
      </c>
      <c r="O190" s="102">
        <f>ROUND(VLOOKUP(D190,Comp!$B$8:$M$23042,7,0),2)</f>
        <v>22.1</v>
      </c>
      <c r="P190" s="102">
        <f t="shared" si="304"/>
        <v>24.98</v>
      </c>
      <c r="Q190" s="102">
        <f t="shared" si="305"/>
        <v>5.76</v>
      </c>
      <c r="R190" s="102">
        <f t="shared" si="306"/>
        <v>44.2</v>
      </c>
      <c r="S190" s="102">
        <f t="shared" si="307"/>
        <v>49.96</v>
      </c>
      <c r="T190" s="410">
        <f t="shared" si="290"/>
        <v>0.25</v>
      </c>
      <c r="U190" s="408">
        <f t="shared" si="308"/>
        <v>62.45</v>
      </c>
      <c r="V190" s="171">
        <f>+S190/Resumo!$D$33</f>
        <v>1.1995777851160009E-4</v>
      </c>
      <c r="W190" s="104"/>
      <c r="X190" s="124"/>
      <c r="Y190" s="358"/>
    </row>
    <row r="191" spans="1:25" s="72" customFormat="1" x14ac:dyDescent="0.25">
      <c r="A191" s="517" t="s">
        <v>659</v>
      </c>
      <c r="B191" s="518" t="s">
        <v>115</v>
      </c>
      <c r="C191" s="519" t="str">
        <f t="shared" si="297"/>
        <v>2.10.2.11</v>
      </c>
      <c r="D191" s="559" t="s">
        <v>678</v>
      </c>
      <c r="E191" s="521" t="s">
        <v>46</v>
      </c>
      <c r="F191" s="399"/>
      <c r="G191" s="399"/>
      <c r="H191" s="588"/>
      <c r="I191" s="399">
        <v>0</v>
      </c>
      <c r="J191" s="399">
        <v>0</v>
      </c>
      <c r="K191" s="399">
        <v>0</v>
      </c>
      <c r="L191" s="588">
        <f t="shared" si="298"/>
        <v>0</v>
      </c>
      <c r="M191" s="530">
        <v>2</v>
      </c>
      <c r="N191" s="102">
        <f>(ROUND(VLOOKUP(D191,Comp!$B$2:$M$23042,12,0),2))</f>
        <v>2.88</v>
      </c>
      <c r="O191" s="102">
        <f>ROUND(VLOOKUP(D191,Comp!$B$8:$M$23042,7,0),2)</f>
        <v>10.88</v>
      </c>
      <c r="P191" s="102">
        <f t="shared" si="304"/>
        <v>13.76</v>
      </c>
      <c r="Q191" s="102">
        <f t="shared" si="305"/>
        <v>5.76</v>
      </c>
      <c r="R191" s="102">
        <f t="shared" si="306"/>
        <v>21.76</v>
      </c>
      <c r="S191" s="102">
        <f t="shared" si="307"/>
        <v>27.52</v>
      </c>
      <c r="T191" s="410">
        <f t="shared" si="290"/>
        <v>0.25</v>
      </c>
      <c r="U191" s="408">
        <f t="shared" si="308"/>
        <v>34.4</v>
      </c>
      <c r="V191" s="171">
        <f>+S191/Resumo!$D$33</f>
        <v>6.6077623391497885E-5</v>
      </c>
      <c r="W191" s="104"/>
      <c r="X191" s="124"/>
      <c r="Y191" s="358"/>
    </row>
    <row r="192" spans="1:25" s="72" customFormat="1" ht="26.25" customHeight="1" x14ac:dyDescent="0.25">
      <c r="A192" s="517" t="s">
        <v>660</v>
      </c>
      <c r="B192" s="518" t="s">
        <v>115</v>
      </c>
      <c r="C192" s="519" t="str">
        <f>A192</f>
        <v>2.10.2.12</v>
      </c>
      <c r="D192" s="559" t="s">
        <v>822</v>
      </c>
      <c r="E192" s="521" t="s">
        <v>46</v>
      </c>
      <c r="F192" s="399"/>
      <c r="G192" s="399"/>
      <c r="H192" s="588"/>
      <c r="I192" s="399">
        <v>0</v>
      </c>
      <c r="J192" s="399">
        <v>0</v>
      </c>
      <c r="K192" s="399">
        <v>0</v>
      </c>
      <c r="L192" s="588">
        <f t="shared" si="298"/>
        <v>0</v>
      </c>
      <c r="M192" s="530">
        <v>1</v>
      </c>
      <c r="N192" s="102">
        <f>(ROUND(VLOOKUP(D192,Comp!$B$2:$M$23042,12,0),2))</f>
        <v>5.4</v>
      </c>
      <c r="O192" s="102">
        <f>ROUND(VLOOKUP(D192,Comp!$B$8:$M$23042,7,0),2)</f>
        <v>52.25</v>
      </c>
      <c r="P192" s="102">
        <f t="shared" si="304"/>
        <v>57.65</v>
      </c>
      <c r="Q192" s="102">
        <f t="shared" si="305"/>
        <v>5.4</v>
      </c>
      <c r="R192" s="102">
        <f t="shared" si="306"/>
        <v>52.25</v>
      </c>
      <c r="S192" s="102">
        <f t="shared" si="307"/>
        <v>57.65</v>
      </c>
      <c r="T192" s="410">
        <f t="shared" si="290"/>
        <v>0.25</v>
      </c>
      <c r="U192" s="408">
        <f t="shared" si="308"/>
        <v>72.06</v>
      </c>
      <c r="V192" s="171">
        <f>+S192/Resumo!$D$33</f>
        <v>1.3842205626889002E-4</v>
      </c>
      <c r="W192" s="104"/>
      <c r="X192" s="124"/>
      <c r="Y192" s="358"/>
    </row>
    <row r="193" spans="1:25" s="72" customFormat="1" x14ac:dyDescent="0.25">
      <c r="A193" s="517" t="s">
        <v>661</v>
      </c>
      <c r="B193" s="518" t="s">
        <v>94</v>
      </c>
      <c r="C193" s="519">
        <v>89557</v>
      </c>
      <c r="D193" s="559" t="s">
        <v>823</v>
      </c>
      <c r="E193" s="521" t="s">
        <v>46</v>
      </c>
      <c r="F193" s="399"/>
      <c r="G193" s="399"/>
      <c r="H193" s="588"/>
      <c r="I193" s="399">
        <v>0</v>
      </c>
      <c r="J193" s="399">
        <v>0</v>
      </c>
      <c r="K193" s="399">
        <v>0</v>
      </c>
      <c r="L193" s="588">
        <f t="shared" si="298"/>
        <v>0</v>
      </c>
      <c r="M193" s="530">
        <v>1</v>
      </c>
      <c r="N193" s="102">
        <v>2.65</v>
      </c>
      <c r="O193" s="102">
        <v>27.67</v>
      </c>
      <c r="P193" s="102">
        <f t="shared" si="304"/>
        <v>30.32</v>
      </c>
      <c r="Q193" s="102">
        <f t="shared" si="305"/>
        <v>2.65</v>
      </c>
      <c r="R193" s="102">
        <f t="shared" si="306"/>
        <v>27.67</v>
      </c>
      <c r="S193" s="102">
        <f t="shared" si="307"/>
        <v>30.32</v>
      </c>
      <c r="T193" s="410">
        <f t="shared" si="290"/>
        <v>0.25</v>
      </c>
      <c r="U193" s="408">
        <f t="shared" si="308"/>
        <v>37.9</v>
      </c>
      <c r="V193" s="171">
        <f>+S193/Resumo!$D$33</f>
        <v>7.2800637399353778E-5</v>
      </c>
      <c r="W193" s="104"/>
      <c r="X193" s="124"/>
      <c r="Y193" s="358"/>
    </row>
    <row r="194" spans="1:25" s="72" customFormat="1" x14ac:dyDescent="0.25">
      <c r="A194" s="517" t="s">
        <v>662</v>
      </c>
      <c r="B194" s="518" t="s">
        <v>115</v>
      </c>
      <c r="C194" s="519" t="str">
        <f t="shared" si="297"/>
        <v>2.10.2.14</v>
      </c>
      <c r="D194" s="559" t="s">
        <v>679</v>
      </c>
      <c r="E194" s="521" t="s">
        <v>46</v>
      </c>
      <c r="F194" s="399"/>
      <c r="G194" s="399"/>
      <c r="H194" s="588"/>
      <c r="I194" s="399">
        <v>0</v>
      </c>
      <c r="J194" s="399">
        <v>0</v>
      </c>
      <c r="K194" s="399">
        <v>0</v>
      </c>
      <c r="L194" s="588">
        <f t="shared" si="298"/>
        <v>0</v>
      </c>
      <c r="M194" s="530">
        <v>0</v>
      </c>
      <c r="N194" s="102">
        <f>(ROUND(VLOOKUP(D194,Comp!$B$2:$M$23042,12,0),2))</f>
        <v>2.52</v>
      </c>
      <c r="O194" s="102">
        <f>ROUND(VLOOKUP(D194,Comp!$B$8:$M$23042,7,0),2)</f>
        <v>11.15</v>
      </c>
      <c r="P194" s="102">
        <f t="shared" si="304"/>
        <v>13.67</v>
      </c>
      <c r="Q194" s="102">
        <f t="shared" si="305"/>
        <v>0</v>
      </c>
      <c r="R194" s="102">
        <f t="shared" si="306"/>
        <v>0</v>
      </c>
      <c r="S194" s="102">
        <f t="shared" si="307"/>
        <v>0</v>
      </c>
      <c r="T194" s="410">
        <f t="shared" si="290"/>
        <v>0.25</v>
      </c>
      <c r="U194" s="408">
        <f t="shared" si="308"/>
        <v>0</v>
      </c>
      <c r="V194" s="171">
        <f>+S194/Resumo!$D$33</f>
        <v>0</v>
      </c>
      <c r="W194" s="104"/>
      <c r="X194" s="124"/>
      <c r="Y194" s="358"/>
    </row>
    <row r="195" spans="1:25" s="72" customFormat="1" x14ac:dyDescent="0.25">
      <c r="A195" s="517" t="s">
        <v>663</v>
      </c>
      <c r="B195" s="518" t="s">
        <v>115</v>
      </c>
      <c r="C195" s="522" t="str">
        <f>A195</f>
        <v>2.10.2.15</v>
      </c>
      <c r="D195" s="559" t="s">
        <v>824</v>
      </c>
      <c r="E195" s="521" t="s">
        <v>46</v>
      </c>
      <c r="F195" s="399"/>
      <c r="G195" s="399"/>
      <c r="H195" s="588"/>
      <c r="I195" s="399">
        <v>0</v>
      </c>
      <c r="J195" s="399">
        <v>0</v>
      </c>
      <c r="K195" s="399">
        <v>0</v>
      </c>
      <c r="L195" s="588">
        <f t="shared" si="298"/>
        <v>0</v>
      </c>
      <c r="M195" s="530">
        <v>0</v>
      </c>
      <c r="N195" s="102">
        <f>(ROUND(VLOOKUP(D195,Comp!$B$2:$M$23042,12,0),2))</f>
        <v>1.56</v>
      </c>
      <c r="O195" s="102">
        <f>ROUND(VLOOKUP(D195,Comp!$B$8:$M$23042,7,0),2)</f>
        <v>97.03</v>
      </c>
      <c r="P195" s="102">
        <f t="shared" si="304"/>
        <v>98.59</v>
      </c>
      <c r="Q195" s="102">
        <f t="shared" si="305"/>
        <v>0</v>
      </c>
      <c r="R195" s="102">
        <f t="shared" si="306"/>
        <v>0</v>
      </c>
      <c r="S195" s="102">
        <f t="shared" si="307"/>
        <v>0</v>
      </c>
      <c r="T195" s="410">
        <f t="shared" si="290"/>
        <v>0.25</v>
      </c>
      <c r="U195" s="408">
        <f t="shared" si="308"/>
        <v>0</v>
      </c>
      <c r="V195" s="171">
        <f>+S195/Resumo!$D$33</f>
        <v>0</v>
      </c>
      <c r="W195" s="104"/>
      <c r="X195" s="124"/>
      <c r="Y195" s="358"/>
    </row>
    <row r="196" spans="1:25" s="72" customFormat="1" x14ac:dyDescent="0.25">
      <c r="A196" s="517" t="s">
        <v>664</v>
      </c>
      <c r="B196" s="518" t="s">
        <v>94</v>
      </c>
      <c r="C196" s="519">
        <v>89784</v>
      </c>
      <c r="D196" s="559" t="s">
        <v>680</v>
      </c>
      <c r="E196" s="521" t="s">
        <v>46</v>
      </c>
      <c r="F196" s="399"/>
      <c r="G196" s="399"/>
      <c r="H196" s="588"/>
      <c r="I196" s="399">
        <v>0</v>
      </c>
      <c r="J196" s="399">
        <v>0</v>
      </c>
      <c r="K196" s="399">
        <v>0</v>
      </c>
      <c r="L196" s="588">
        <f t="shared" si="298"/>
        <v>0</v>
      </c>
      <c r="M196" s="530">
        <v>0</v>
      </c>
      <c r="N196" s="102">
        <v>4.79</v>
      </c>
      <c r="O196" s="102">
        <v>14.85</v>
      </c>
      <c r="P196" s="102">
        <f t="shared" si="304"/>
        <v>19.64</v>
      </c>
      <c r="Q196" s="102">
        <f t="shared" si="305"/>
        <v>0</v>
      </c>
      <c r="R196" s="102">
        <f t="shared" si="306"/>
        <v>0</v>
      </c>
      <c r="S196" s="102">
        <f t="shared" si="307"/>
        <v>0</v>
      </c>
      <c r="T196" s="410">
        <f t="shared" si="290"/>
        <v>0.25</v>
      </c>
      <c r="U196" s="408">
        <f t="shared" si="308"/>
        <v>0</v>
      </c>
      <c r="V196" s="171">
        <f>+S196/Resumo!$D$33</f>
        <v>0</v>
      </c>
      <c r="W196" s="104"/>
      <c r="X196" s="124"/>
      <c r="Y196" s="358"/>
    </row>
    <row r="197" spans="1:25" s="72" customFormat="1" x14ac:dyDescent="0.25">
      <c r="A197" s="517" t="s">
        <v>665</v>
      </c>
      <c r="B197" s="518" t="s">
        <v>94</v>
      </c>
      <c r="C197" s="519">
        <v>89786</v>
      </c>
      <c r="D197" s="559" t="s">
        <v>825</v>
      </c>
      <c r="E197" s="521" t="s">
        <v>46</v>
      </c>
      <c r="F197" s="399"/>
      <c r="G197" s="399"/>
      <c r="H197" s="588"/>
      <c r="I197" s="399">
        <v>0</v>
      </c>
      <c r="J197" s="399">
        <v>0</v>
      </c>
      <c r="K197" s="399">
        <v>0</v>
      </c>
      <c r="L197" s="588">
        <f t="shared" si="298"/>
        <v>0</v>
      </c>
      <c r="M197" s="530">
        <v>0</v>
      </c>
      <c r="N197" s="102">
        <v>7.04</v>
      </c>
      <c r="O197" s="102">
        <v>26.18</v>
      </c>
      <c r="P197" s="102">
        <f t="shared" si="304"/>
        <v>33.22</v>
      </c>
      <c r="Q197" s="102">
        <f t="shared" si="305"/>
        <v>0</v>
      </c>
      <c r="R197" s="102">
        <f t="shared" si="306"/>
        <v>0</v>
      </c>
      <c r="S197" s="102">
        <f t="shared" si="307"/>
        <v>0</v>
      </c>
      <c r="T197" s="410">
        <f t="shared" si="290"/>
        <v>0.25</v>
      </c>
      <c r="U197" s="408">
        <f t="shared" si="308"/>
        <v>0</v>
      </c>
      <c r="V197" s="171">
        <f>+S197/Resumo!$D$33</f>
        <v>0</v>
      </c>
      <c r="W197" s="104"/>
      <c r="X197" s="124"/>
      <c r="Y197" s="358"/>
    </row>
    <row r="198" spans="1:25" s="72" customFormat="1" x14ac:dyDescent="0.25">
      <c r="A198" s="517" t="s">
        <v>666</v>
      </c>
      <c r="B198" s="518" t="s">
        <v>115</v>
      </c>
      <c r="C198" s="519" t="str">
        <f t="shared" si="297"/>
        <v>2.10.2.18</v>
      </c>
      <c r="D198" s="559" t="s">
        <v>681</v>
      </c>
      <c r="E198" s="521" t="s">
        <v>46</v>
      </c>
      <c r="F198" s="399"/>
      <c r="G198" s="399"/>
      <c r="H198" s="588"/>
      <c r="I198" s="399">
        <v>0</v>
      </c>
      <c r="J198" s="399">
        <v>0</v>
      </c>
      <c r="K198" s="399">
        <v>0</v>
      </c>
      <c r="L198" s="588">
        <f t="shared" si="298"/>
        <v>0</v>
      </c>
      <c r="M198" s="530">
        <v>0</v>
      </c>
      <c r="N198" s="102">
        <f>(ROUND(VLOOKUP(D198,Comp!$B$2:$M$23042,12,0),2))</f>
        <v>6.12</v>
      </c>
      <c r="O198" s="102">
        <f>ROUND(VLOOKUP(D198,Comp!$B$8:$M$23042,7,0),2)</f>
        <v>22.62</v>
      </c>
      <c r="P198" s="102">
        <f t="shared" si="304"/>
        <v>28.74</v>
      </c>
      <c r="Q198" s="102">
        <f t="shared" si="305"/>
        <v>0</v>
      </c>
      <c r="R198" s="102">
        <f t="shared" si="306"/>
        <v>0</v>
      </c>
      <c r="S198" s="102">
        <f t="shared" si="307"/>
        <v>0</v>
      </c>
      <c r="T198" s="410">
        <f t="shared" si="290"/>
        <v>0.25</v>
      </c>
      <c r="U198" s="408">
        <f t="shared" si="308"/>
        <v>0</v>
      </c>
      <c r="V198" s="171">
        <f>+S198/Resumo!$D$33</f>
        <v>0</v>
      </c>
      <c r="W198" s="104"/>
      <c r="X198" s="124"/>
      <c r="Y198" s="358"/>
    </row>
    <row r="199" spans="1:25" s="72" customFormat="1" x14ac:dyDescent="0.25">
      <c r="A199" s="517" t="s">
        <v>667</v>
      </c>
      <c r="B199" s="518" t="s">
        <v>94</v>
      </c>
      <c r="C199" s="519">
        <v>89714</v>
      </c>
      <c r="D199" s="559" t="s">
        <v>682</v>
      </c>
      <c r="E199" s="521" t="s">
        <v>58</v>
      </c>
      <c r="F199" s="399"/>
      <c r="G199" s="399"/>
      <c r="H199" s="588"/>
      <c r="I199" s="399">
        <v>0</v>
      </c>
      <c r="J199" s="399">
        <v>0</v>
      </c>
      <c r="K199" s="399">
        <v>0</v>
      </c>
      <c r="L199" s="588">
        <f t="shared" si="298"/>
        <v>0</v>
      </c>
      <c r="M199" s="530">
        <v>0</v>
      </c>
      <c r="N199" s="102">
        <v>20.87</v>
      </c>
      <c r="O199" s="102">
        <v>31.96</v>
      </c>
      <c r="P199" s="102">
        <f t="shared" si="304"/>
        <v>52.83</v>
      </c>
      <c r="Q199" s="102">
        <f t="shared" si="305"/>
        <v>0</v>
      </c>
      <c r="R199" s="102">
        <f t="shared" si="306"/>
        <v>0</v>
      </c>
      <c r="S199" s="102">
        <f t="shared" si="307"/>
        <v>0</v>
      </c>
      <c r="T199" s="410">
        <f t="shared" si="290"/>
        <v>0.25</v>
      </c>
      <c r="U199" s="408">
        <f t="shared" si="308"/>
        <v>0</v>
      </c>
      <c r="V199" s="171">
        <f>+S199/Resumo!$D$33</f>
        <v>0</v>
      </c>
      <c r="W199" s="104"/>
      <c r="X199" s="124"/>
      <c r="Y199" s="358"/>
    </row>
    <row r="200" spans="1:25" s="72" customFormat="1" x14ac:dyDescent="0.25">
      <c r="A200" s="517" t="s">
        <v>668</v>
      </c>
      <c r="B200" s="518" t="s">
        <v>94</v>
      </c>
      <c r="C200" s="519">
        <v>89711</v>
      </c>
      <c r="D200" s="559" t="s">
        <v>683</v>
      </c>
      <c r="E200" s="521" t="s">
        <v>58</v>
      </c>
      <c r="F200" s="399"/>
      <c r="G200" s="399"/>
      <c r="H200" s="588"/>
      <c r="I200" s="399">
        <v>0</v>
      </c>
      <c r="J200" s="399">
        <v>0</v>
      </c>
      <c r="K200" s="399">
        <v>0</v>
      </c>
      <c r="L200" s="588">
        <f t="shared" si="298"/>
        <v>0</v>
      </c>
      <c r="M200" s="530">
        <v>0</v>
      </c>
      <c r="N200" s="102">
        <v>8.4700000000000006</v>
      </c>
      <c r="O200" s="102">
        <v>9.15</v>
      </c>
      <c r="P200" s="102">
        <f t="shared" si="304"/>
        <v>17.62</v>
      </c>
      <c r="Q200" s="102">
        <f t="shared" si="305"/>
        <v>0</v>
      </c>
      <c r="R200" s="102">
        <f t="shared" si="306"/>
        <v>0</v>
      </c>
      <c r="S200" s="102">
        <f t="shared" si="307"/>
        <v>0</v>
      </c>
      <c r="T200" s="410">
        <f t="shared" si="290"/>
        <v>0.25</v>
      </c>
      <c r="U200" s="408">
        <f t="shared" si="308"/>
        <v>0</v>
      </c>
      <c r="V200" s="171">
        <f>+S200/Resumo!$D$33</f>
        <v>0</v>
      </c>
      <c r="W200" s="104"/>
      <c r="X200" s="124"/>
      <c r="Y200" s="358"/>
    </row>
    <row r="201" spans="1:25" s="72" customFormat="1" x14ac:dyDescent="0.25">
      <c r="A201" s="517" t="s">
        <v>669</v>
      </c>
      <c r="B201" s="518" t="s">
        <v>94</v>
      </c>
      <c r="C201" s="519">
        <v>89712</v>
      </c>
      <c r="D201" s="559" t="s">
        <v>684</v>
      </c>
      <c r="E201" s="521" t="s">
        <v>58</v>
      </c>
      <c r="F201" s="399"/>
      <c r="G201" s="399"/>
      <c r="H201" s="588"/>
      <c r="I201" s="399">
        <v>0</v>
      </c>
      <c r="J201" s="399">
        <v>0</v>
      </c>
      <c r="K201" s="399">
        <v>0</v>
      </c>
      <c r="L201" s="588">
        <f t="shared" si="298"/>
        <v>0</v>
      </c>
      <c r="M201" s="530">
        <v>5.31</v>
      </c>
      <c r="N201" s="102">
        <v>10.73</v>
      </c>
      <c r="O201" s="102">
        <v>16.579999999999998</v>
      </c>
      <c r="P201" s="102">
        <f t="shared" si="304"/>
        <v>27.31</v>
      </c>
      <c r="Q201" s="102">
        <f t="shared" si="305"/>
        <v>56.98</v>
      </c>
      <c r="R201" s="102">
        <f t="shared" si="306"/>
        <v>88.04</v>
      </c>
      <c r="S201" s="102">
        <f t="shared" si="307"/>
        <v>145.02000000000001</v>
      </c>
      <c r="T201" s="410">
        <f t="shared" si="290"/>
        <v>0.25</v>
      </c>
      <c r="U201" s="408">
        <f t="shared" si="308"/>
        <v>181.28</v>
      </c>
      <c r="V201" s="171">
        <f>+S201/Resumo!$D$33</f>
        <v>3.4820410407830757E-4</v>
      </c>
      <c r="W201" s="104"/>
      <c r="X201" s="124"/>
      <c r="Y201" s="358"/>
    </row>
    <row r="202" spans="1:25" s="72" customFormat="1" x14ac:dyDescent="0.25">
      <c r="A202" s="517" t="s">
        <v>670</v>
      </c>
      <c r="B202" s="518" t="s">
        <v>94</v>
      </c>
      <c r="C202" s="519">
        <v>89713</v>
      </c>
      <c r="D202" s="559" t="s">
        <v>685</v>
      </c>
      <c r="E202" s="521" t="s">
        <v>58</v>
      </c>
      <c r="F202" s="399"/>
      <c r="G202" s="399"/>
      <c r="H202" s="588"/>
      <c r="I202" s="399">
        <v>0</v>
      </c>
      <c r="J202" s="399">
        <v>0</v>
      </c>
      <c r="K202" s="399">
        <v>0</v>
      </c>
      <c r="L202" s="588">
        <f t="shared" si="298"/>
        <v>0</v>
      </c>
      <c r="M202" s="530">
        <v>5.37</v>
      </c>
      <c r="N202" s="102">
        <v>15.8</v>
      </c>
      <c r="O202" s="102">
        <v>25.89</v>
      </c>
      <c r="P202" s="102">
        <f t="shared" si="304"/>
        <v>41.69</v>
      </c>
      <c r="Q202" s="102">
        <f t="shared" si="305"/>
        <v>84.85</v>
      </c>
      <c r="R202" s="102">
        <f t="shared" si="306"/>
        <v>139.03</v>
      </c>
      <c r="S202" s="102">
        <f t="shared" si="307"/>
        <v>223.88</v>
      </c>
      <c r="T202" s="410">
        <f t="shared" si="290"/>
        <v>0.25</v>
      </c>
      <c r="U202" s="408">
        <f t="shared" si="308"/>
        <v>279.85000000000002</v>
      </c>
      <c r="V202" s="171">
        <f>+S202/Resumo!$D$33</f>
        <v>5.3755299145670597E-4</v>
      </c>
      <c r="W202" s="104"/>
      <c r="X202" s="124"/>
      <c r="Y202" s="358"/>
    </row>
    <row r="203" spans="1:25" ht="15.75" x14ac:dyDescent="0.25">
      <c r="A203" s="339" t="s">
        <v>333</v>
      </c>
      <c r="B203" s="393"/>
      <c r="C203" s="393"/>
      <c r="D203" s="63" t="s">
        <v>485</v>
      </c>
      <c r="E203" s="132"/>
      <c r="F203" s="404"/>
      <c r="G203" s="404"/>
      <c r="H203" s="404"/>
      <c r="I203" s="404"/>
      <c r="J203" s="404"/>
      <c r="K203" s="404"/>
      <c r="L203" s="404"/>
      <c r="M203" s="45"/>
      <c r="N203" s="45"/>
      <c r="O203" s="45"/>
      <c r="P203" s="45"/>
      <c r="Q203" s="45">
        <f>Q204</f>
        <v>0</v>
      </c>
      <c r="R203" s="45">
        <f t="shared" ref="R203" si="309">R204</f>
        <v>0</v>
      </c>
      <c r="S203" s="45">
        <f t="shared" ref="S203" si="310">S204</f>
        <v>0</v>
      </c>
      <c r="T203" s="45"/>
      <c r="U203" s="45">
        <f t="shared" ref="U203" si="311">U204</f>
        <v>0</v>
      </c>
      <c r="V203" s="172">
        <f>+S203/Resumo!$D$33</f>
        <v>0</v>
      </c>
      <c r="W203" s="104" t="s">
        <v>86</v>
      </c>
      <c r="X203" s="359"/>
      <c r="Y203" s="358"/>
    </row>
    <row r="204" spans="1:25" s="72" customFormat="1" x14ac:dyDescent="0.25">
      <c r="A204" s="517">
        <v>0</v>
      </c>
      <c r="B204" s="518">
        <v>0</v>
      </c>
      <c r="C204" s="518">
        <v>0</v>
      </c>
      <c r="D204" s="523" t="s">
        <v>123</v>
      </c>
      <c r="E204" s="521">
        <v>0</v>
      </c>
      <c r="F204" s="399"/>
      <c r="G204" s="399"/>
      <c r="H204" s="588"/>
      <c r="I204" s="399">
        <v>0</v>
      </c>
      <c r="J204" s="399">
        <v>0</v>
      </c>
      <c r="K204" s="399">
        <v>0</v>
      </c>
      <c r="L204" s="588">
        <f t="shared" ref="L204" si="312">SUM(I204:K204)</f>
        <v>0</v>
      </c>
      <c r="M204" s="530">
        <v>0</v>
      </c>
      <c r="N204" s="102">
        <v>0</v>
      </c>
      <c r="O204" s="102">
        <v>0</v>
      </c>
      <c r="P204" s="102">
        <f t="shared" ref="P204" si="313">+ROUND(N204+O204,2)</f>
        <v>0</v>
      </c>
      <c r="Q204" s="102">
        <f t="shared" ref="Q204" si="314">ROUND(N204*M204,2)</f>
        <v>0</v>
      </c>
      <c r="R204" s="102">
        <f t="shared" ref="R204" si="315">ROUND(O204*M204,2)</f>
        <v>0</v>
      </c>
      <c r="S204" s="102">
        <f t="shared" ref="S204" si="316">ROUND(P204*M204,2)</f>
        <v>0</v>
      </c>
      <c r="T204" s="410">
        <f t="shared" ref="T204:T206" si="317">$M$6</f>
        <v>0.25</v>
      </c>
      <c r="U204" s="408">
        <f t="shared" ref="U204" si="318">ROUND(S204*(1+T204),2)</f>
        <v>0</v>
      </c>
      <c r="V204" s="171">
        <f>+S204/Resumo!$D$33</f>
        <v>0</v>
      </c>
      <c r="W204" s="104"/>
      <c r="X204" s="124"/>
      <c r="Y204" s="358"/>
    </row>
    <row r="205" spans="1:25" ht="15.75" x14ac:dyDescent="0.25">
      <c r="A205" s="339" t="s">
        <v>334</v>
      </c>
      <c r="B205" s="393"/>
      <c r="C205" s="393"/>
      <c r="D205" s="63" t="s">
        <v>486</v>
      </c>
      <c r="E205" s="132"/>
      <c r="F205" s="404"/>
      <c r="G205" s="404"/>
      <c r="H205" s="404"/>
      <c r="I205" s="404"/>
      <c r="J205" s="404"/>
      <c r="K205" s="404"/>
      <c r="L205" s="404"/>
      <c r="M205" s="45"/>
      <c r="N205" s="45"/>
      <c r="O205" s="45"/>
      <c r="P205" s="45"/>
      <c r="Q205" s="45">
        <f>Q206</f>
        <v>0</v>
      </c>
      <c r="R205" s="45">
        <f t="shared" ref="R205" si="319">R206</f>
        <v>0</v>
      </c>
      <c r="S205" s="45">
        <f t="shared" ref="S205" si="320">S206</f>
        <v>0</v>
      </c>
      <c r="T205" s="45"/>
      <c r="U205" s="45">
        <f t="shared" ref="U205" si="321">U206</f>
        <v>0</v>
      </c>
      <c r="V205" s="172">
        <f>+S205/Resumo!$D$33</f>
        <v>0</v>
      </c>
      <c r="W205" s="104" t="s">
        <v>86</v>
      </c>
      <c r="X205" s="359"/>
      <c r="Y205" s="358"/>
    </row>
    <row r="206" spans="1:25" s="72" customFormat="1" x14ac:dyDescent="0.25">
      <c r="A206" s="517">
        <v>0</v>
      </c>
      <c r="B206" s="518">
        <v>0</v>
      </c>
      <c r="C206" s="518">
        <v>0</v>
      </c>
      <c r="D206" s="523" t="s">
        <v>123</v>
      </c>
      <c r="E206" s="521">
        <v>0</v>
      </c>
      <c r="F206" s="399"/>
      <c r="G206" s="399"/>
      <c r="H206" s="588"/>
      <c r="I206" s="399">
        <v>0</v>
      </c>
      <c r="J206" s="399">
        <v>0</v>
      </c>
      <c r="K206" s="399">
        <v>0</v>
      </c>
      <c r="L206" s="588">
        <f t="shared" ref="L206" si="322">SUM(I206:K206)</f>
        <v>0</v>
      </c>
      <c r="M206" s="530">
        <v>0</v>
      </c>
      <c r="N206" s="102">
        <v>0</v>
      </c>
      <c r="O206" s="102">
        <v>0</v>
      </c>
      <c r="P206" s="102">
        <f t="shared" ref="P206" si="323">+ROUND(N206+O206,2)</f>
        <v>0</v>
      </c>
      <c r="Q206" s="102">
        <f t="shared" ref="Q206" si="324">ROUND(N206*M206,2)</f>
        <v>0</v>
      </c>
      <c r="R206" s="102">
        <f t="shared" ref="R206" si="325">ROUND(O206*M206,2)</f>
        <v>0</v>
      </c>
      <c r="S206" s="102">
        <f t="shared" ref="S206" si="326">ROUND(P206*M206,2)</f>
        <v>0</v>
      </c>
      <c r="T206" s="410">
        <f t="shared" si="317"/>
        <v>0.25</v>
      </c>
      <c r="U206" s="408">
        <f t="shared" ref="U206" si="327">ROUND(S206*(1+T206),2)</f>
        <v>0</v>
      </c>
      <c r="V206" s="171">
        <f>+S206/Resumo!$D$33</f>
        <v>0</v>
      </c>
      <c r="W206" s="104"/>
      <c r="X206" s="124"/>
      <c r="Y206" s="358"/>
    </row>
    <row r="207" spans="1:25" s="72" customFormat="1" ht="15.75" x14ac:dyDescent="0.25">
      <c r="A207" s="339" t="s">
        <v>335</v>
      </c>
      <c r="B207" s="393"/>
      <c r="C207" s="393"/>
      <c r="D207" s="63" t="s">
        <v>36</v>
      </c>
      <c r="E207" s="132"/>
      <c r="F207" s="404"/>
      <c r="G207" s="404"/>
      <c r="H207" s="404"/>
      <c r="I207" s="404"/>
      <c r="J207" s="404"/>
      <c r="K207" s="404"/>
      <c r="L207" s="404"/>
      <c r="M207" s="45"/>
      <c r="N207" s="45"/>
      <c r="O207" s="45"/>
      <c r="P207" s="45"/>
      <c r="Q207" s="45">
        <f>Q208</f>
        <v>0</v>
      </c>
      <c r="R207" s="45">
        <f t="shared" ref="R207:U207" si="328">R208</f>
        <v>0</v>
      </c>
      <c r="S207" s="45">
        <f t="shared" si="328"/>
        <v>0</v>
      </c>
      <c r="T207" s="45"/>
      <c r="U207" s="45">
        <f t="shared" si="328"/>
        <v>0</v>
      </c>
      <c r="V207" s="172">
        <f>+S207/Resumo!$D$33</f>
        <v>0</v>
      </c>
      <c r="W207" s="104" t="s">
        <v>86</v>
      </c>
      <c r="X207" s="120"/>
      <c r="Y207" s="358"/>
    </row>
    <row r="208" spans="1:25" s="28" customFormat="1" x14ac:dyDescent="0.25">
      <c r="A208" s="517">
        <v>0</v>
      </c>
      <c r="B208" s="518">
        <v>0</v>
      </c>
      <c r="C208" s="518">
        <v>0</v>
      </c>
      <c r="D208" s="523" t="s">
        <v>124</v>
      </c>
      <c r="E208" s="521">
        <v>0</v>
      </c>
      <c r="F208" s="399"/>
      <c r="G208" s="399"/>
      <c r="H208" s="588"/>
      <c r="I208" s="399">
        <v>0</v>
      </c>
      <c r="J208" s="399">
        <v>0</v>
      </c>
      <c r="K208" s="399">
        <v>0</v>
      </c>
      <c r="L208" s="588">
        <f t="shared" ref="L208" si="329">SUM(I208:K208)</f>
        <v>0</v>
      </c>
      <c r="M208" s="530">
        <v>0</v>
      </c>
      <c r="N208" s="102">
        <v>0</v>
      </c>
      <c r="O208" s="102">
        <v>0</v>
      </c>
      <c r="P208" s="102">
        <f t="shared" ref="P208" si="330">+ROUND(N208+O208,2)</f>
        <v>0</v>
      </c>
      <c r="Q208" s="102">
        <f t="shared" ref="Q208" si="331">ROUND(N208*M208,2)</f>
        <v>0</v>
      </c>
      <c r="R208" s="102">
        <f t="shared" ref="R208" si="332">ROUND(O208*M208,2)</f>
        <v>0</v>
      </c>
      <c r="S208" s="102">
        <f t="shared" ref="S208" si="333">ROUND(P208*M208,2)</f>
        <v>0</v>
      </c>
      <c r="T208" s="410">
        <f t="shared" ref="T208" si="334">$M$6</f>
        <v>0.25</v>
      </c>
      <c r="U208" s="408">
        <f t="shared" ref="U208" si="335">ROUND(S208*(1+T208),2)</f>
        <v>0</v>
      </c>
      <c r="V208" s="171">
        <f>+S208/Resumo!$D$33</f>
        <v>0</v>
      </c>
      <c r="W208" s="104"/>
      <c r="X208" s="125"/>
      <c r="Y208" s="358"/>
    </row>
    <row r="209" spans="1:25" s="34" customFormat="1" ht="15.75" x14ac:dyDescent="0.25">
      <c r="A209" s="339" t="s">
        <v>336</v>
      </c>
      <c r="B209" s="393"/>
      <c r="C209" s="393"/>
      <c r="D209" s="63" t="s">
        <v>488</v>
      </c>
      <c r="E209" s="132"/>
      <c r="F209" s="404"/>
      <c r="G209" s="404"/>
      <c r="H209" s="404"/>
      <c r="I209" s="404"/>
      <c r="J209" s="404"/>
      <c r="K209" s="404"/>
      <c r="L209" s="404"/>
      <c r="M209" s="45"/>
      <c r="N209" s="45"/>
      <c r="O209" s="45"/>
      <c r="P209" s="45"/>
      <c r="Q209" s="45">
        <f>SUM(Q210:Q244)</f>
        <v>40116.87999999999</v>
      </c>
      <c r="R209" s="45">
        <f>SUM(R210:R244)</f>
        <v>78946.17</v>
      </c>
      <c r="S209" s="45">
        <f>SUM(S210:S244)</f>
        <v>119063.05</v>
      </c>
      <c r="T209" s="45"/>
      <c r="U209" s="45">
        <f>SUM(U210:U244)</f>
        <v>148828.82999999999</v>
      </c>
      <c r="V209" s="172">
        <f>+S209/Resumo!$D$33</f>
        <v>0.28587948320287365</v>
      </c>
      <c r="W209" s="104" t="s">
        <v>86</v>
      </c>
      <c r="X209" s="120"/>
      <c r="Y209" s="358"/>
    </row>
    <row r="210" spans="1:25" s="28" customFormat="1" x14ac:dyDescent="0.25">
      <c r="A210" s="524" t="s">
        <v>365</v>
      </c>
      <c r="B210" s="518" t="s">
        <v>115</v>
      </c>
      <c r="C210" s="518" t="str">
        <f>A210</f>
        <v>2.14.1</v>
      </c>
      <c r="D210" s="520" t="s">
        <v>507</v>
      </c>
      <c r="E210" s="521" t="s">
        <v>505</v>
      </c>
      <c r="F210" s="399"/>
      <c r="G210" s="399"/>
      <c r="H210" s="588"/>
      <c r="I210" s="399">
        <v>0</v>
      </c>
      <c r="J210" s="399">
        <v>0</v>
      </c>
      <c r="K210" s="399">
        <v>0</v>
      </c>
      <c r="L210" s="588">
        <v>1100</v>
      </c>
      <c r="M210" s="530">
        <f t="shared" ref="M210:M244" si="336">H210+L210</f>
        <v>1100</v>
      </c>
      <c r="N210" s="102">
        <f>(ROUND(VLOOKUP(D210,Comp!$B$2:$M$23042,12,0),2))</f>
        <v>4.2699999999999996</v>
      </c>
      <c r="O210" s="102">
        <f>ROUND(VLOOKUP(D210,Comp!$B$8:$M$23042,7,0),2)</f>
        <v>0</v>
      </c>
      <c r="P210" s="102">
        <f t="shared" ref="P210" si="337">+ROUND(N210+O210,2)</f>
        <v>4.2699999999999996</v>
      </c>
      <c r="Q210" s="102">
        <f t="shared" ref="Q210" si="338">ROUND(N210*M210,2)</f>
        <v>4697</v>
      </c>
      <c r="R210" s="102">
        <f t="shared" ref="R210" si="339">ROUND(O210*M210,2)</f>
        <v>0</v>
      </c>
      <c r="S210" s="102">
        <f t="shared" ref="S210" si="340">ROUND(P210*M210,2)</f>
        <v>4697</v>
      </c>
      <c r="T210" s="410">
        <f t="shared" ref="T210:T244" si="341">$M$6</f>
        <v>0.25</v>
      </c>
      <c r="U210" s="408">
        <f t="shared" ref="U210" si="342">ROUND(S210*(1+T210),2)</f>
        <v>5871.25</v>
      </c>
      <c r="V210" s="171">
        <f>+S210/Resumo!$D$33</f>
        <v>1.1277855998178255E-2</v>
      </c>
      <c r="W210" s="104"/>
      <c r="X210" s="125"/>
      <c r="Y210" s="358"/>
    </row>
    <row r="211" spans="1:25" s="28" customFormat="1" ht="30" x14ac:dyDescent="0.25">
      <c r="A211" s="524" t="s">
        <v>366</v>
      </c>
      <c r="B211" s="518" t="s">
        <v>115</v>
      </c>
      <c r="C211" s="518" t="str">
        <f>A211</f>
        <v>2.14.2</v>
      </c>
      <c r="D211" s="520" t="s">
        <v>506</v>
      </c>
      <c r="E211" s="521" t="s">
        <v>505</v>
      </c>
      <c r="F211" s="399"/>
      <c r="G211" s="399"/>
      <c r="H211" s="588"/>
      <c r="I211" s="399">
        <v>0</v>
      </c>
      <c r="J211" s="399">
        <v>0</v>
      </c>
      <c r="K211" s="399">
        <v>0</v>
      </c>
      <c r="L211" s="588">
        <v>2200</v>
      </c>
      <c r="M211" s="530">
        <f t="shared" si="336"/>
        <v>2200</v>
      </c>
      <c r="N211" s="102">
        <f>(ROUND(VLOOKUP(D211,Comp!$B$2:$M$23042,12,0),2))</f>
        <v>13.18</v>
      </c>
      <c r="O211" s="102">
        <f>ROUND(VLOOKUP(D211,Comp!$B$8:$M$23042,7,0),2)</f>
        <v>19.62</v>
      </c>
      <c r="P211" s="102">
        <f t="shared" ref="P211" si="343">+ROUND(N211+O211,2)</f>
        <v>32.799999999999997</v>
      </c>
      <c r="Q211" s="102">
        <f t="shared" ref="Q211" si="344">ROUND(N211*M211,2)</f>
        <v>28996</v>
      </c>
      <c r="R211" s="102">
        <f t="shared" ref="R211" si="345">ROUND(O211*M211,2)</f>
        <v>43164</v>
      </c>
      <c r="S211" s="102">
        <f t="shared" ref="S211" si="346">ROUND(P211*M211,2)</f>
        <v>72160</v>
      </c>
      <c r="T211" s="410">
        <f t="shared" si="341"/>
        <v>0.25</v>
      </c>
      <c r="U211" s="408">
        <f t="shared" ref="U211" si="347">ROUND(S211*(1+T211),2)</f>
        <v>90200</v>
      </c>
      <c r="V211" s="171">
        <f>+S211/Resumo!$D$33</f>
        <v>0.1732616752881718</v>
      </c>
      <c r="W211" s="104"/>
      <c r="X211" s="125"/>
      <c r="Y211" s="358"/>
    </row>
    <row r="212" spans="1:25" s="28" customFormat="1" ht="75" x14ac:dyDescent="0.25">
      <c r="A212" s="524" t="s">
        <v>367</v>
      </c>
      <c r="B212" s="518" t="s">
        <v>115</v>
      </c>
      <c r="C212" s="518" t="str">
        <f>A212</f>
        <v>2.14.3</v>
      </c>
      <c r="D212" s="520" t="s">
        <v>508</v>
      </c>
      <c r="E212" s="521" t="s">
        <v>46</v>
      </c>
      <c r="F212" s="399"/>
      <c r="G212" s="399"/>
      <c r="H212" s="588"/>
      <c r="I212" s="399">
        <v>0</v>
      </c>
      <c r="J212" s="399">
        <v>0</v>
      </c>
      <c r="K212" s="399">
        <v>0</v>
      </c>
      <c r="L212" s="588">
        <v>21</v>
      </c>
      <c r="M212" s="530">
        <f t="shared" si="336"/>
        <v>21</v>
      </c>
      <c r="N212" s="102">
        <f>(ROUND(VLOOKUP(D212,Comp!$B$2:$M$23042,12,0),2))</f>
        <v>131.76</v>
      </c>
      <c r="O212" s="102">
        <f>ROUND(VLOOKUP(D212,Comp!$B$8:$M$23042,7,0),2)</f>
        <v>216.45</v>
      </c>
      <c r="P212" s="102">
        <f t="shared" ref="P212:P216" si="348">+ROUND(N212+O212,2)</f>
        <v>348.21</v>
      </c>
      <c r="Q212" s="102">
        <f t="shared" ref="Q212:Q217" si="349">ROUND(N212*M212,2)</f>
        <v>2766.96</v>
      </c>
      <c r="R212" s="102">
        <f t="shared" ref="R212:R217" si="350">ROUND(O212*M212,2)</f>
        <v>4545.45</v>
      </c>
      <c r="S212" s="102">
        <f t="shared" ref="S212:S217" si="351">ROUND(P212*M212,2)</f>
        <v>7312.41</v>
      </c>
      <c r="T212" s="410">
        <f t="shared" si="341"/>
        <v>0.25</v>
      </c>
      <c r="U212" s="408">
        <f t="shared" ref="U212:U217" si="352">ROUND(S212*(1+T212),2)</f>
        <v>9140.51</v>
      </c>
      <c r="V212" s="171">
        <f>+S212/Resumo!$D$33</f>
        <v>1.7557655307566245E-2</v>
      </c>
      <c r="W212" s="104"/>
      <c r="X212" s="125"/>
      <c r="Y212" s="358"/>
    </row>
    <row r="213" spans="1:25" s="28" customFormat="1" ht="47.25" customHeight="1" x14ac:dyDescent="0.25">
      <c r="A213" s="524" t="s">
        <v>368</v>
      </c>
      <c r="B213" s="518" t="s">
        <v>115</v>
      </c>
      <c r="C213" s="518" t="str">
        <f t="shared" ref="C213:C244" si="353">A213</f>
        <v>2.14.4</v>
      </c>
      <c r="D213" s="520" t="s">
        <v>510</v>
      </c>
      <c r="E213" s="521" t="s">
        <v>46</v>
      </c>
      <c r="F213" s="399"/>
      <c r="G213" s="399"/>
      <c r="H213" s="588"/>
      <c r="I213" s="399">
        <v>0</v>
      </c>
      <c r="J213" s="399">
        <v>0</v>
      </c>
      <c r="K213" s="399">
        <v>0</v>
      </c>
      <c r="L213" s="588">
        <v>10</v>
      </c>
      <c r="M213" s="530">
        <f t="shared" si="336"/>
        <v>10</v>
      </c>
      <c r="N213" s="102">
        <f>(ROUND(VLOOKUP(D213,Comp!$B$2:$M$23042,12,0),2))</f>
        <v>65.89</v>
      </c>
      <c r="O213" s="102">
        <f>ROUND(VLOOKUP(D213,Comp!$B$8:$M$23042,7,0),2)</f>
        <v>658.67</v>
      </c>
      <c r="P213" s="102">
        <f t="shared" si="348"/>
        <v>724.56</v>
      </c>
      <c r="Q213" s="102">
        <f t="shared" si="349"/>
        <v>658.9</v>
      </c>
      <c r="R213" s="102">
        <f t="shared" si="350"/>
        <v>6586.7</v>
      </c>
      <c r="S213" s="102">
        <f t="shared" si="351"/>
        <v>7245.6</v>
      </c>
      <c r="T213" s="410">
        <f t="shared" si="341"/>
        <v>0.25</v>
      </c>
      <c r="U213" s="408">
        <f t="shared" si="352"/>
        <v>9057</v>
      </c>
      <c r="V213" s="171">
        <f>+S213/Resumo!$D$33</f>
        <v>1.7397239391185943E-2</v>
      </c>
      <c r="W213" s="104"/>
      <c r="X213" s="125"/>
      <c r="Y213" s="358"/>
    </row>
    <row r="214" spans="1:25" s="28" customFormat="1" ht="60" x14ac:dyDescent="0.25">
      <c r="A214" s="524" t="s">
        <v>489</v>
      </c>
      <c r="B214" s="518" t="s">
        <v>115</v>
      </c>
      <c r="C214" s="518" t="str">
        <f t="shared" si="353"/>
        <v>2.14.5</v>
      </c>
      <c r="D214" s="520" t="s">
        <v>509</v>
      </c>
      <c r="E214" s="521" t="s">
        <v>46</v>
      </c>
      <c r="F214" s="399"/>
      <c r="G214" s="399"/>
      <c r="H214" s="588"/>
      <c r="I214" s="399">
        <v>0</v>
      </c>
      <c r="J214" s="399">
        <v>0</v>
      </c>
      <c r="K214" s="399">
        <v>0</v>
      </c>
      <c r="L214" s="588">
        <v>5</v>
      </c>
      <c r="M214" s="530">
        <f t="shared" si="336"/>
        <v>5</v>
      </c>
      <c r="N214" s="102">
        <f>(ROUND(VLOOKUP(D214,Comp!$B$2:$M$23042,12,0),2))</f>
        <v>65.89</v>
      </c>
      <c r="O214" s="102">
        <f>ROUND(VLOOKUP(D214,Comp!$B$8:$M$23042,7,0),2)</f>
        <v>457.06</v>
      </c>
      <c r="P214" s="102">
        <f t="shared" si="348"/>
        <v>522.95000000000005</v>
      </c>
      <c r="Q214" s="102">
        <f t="shared" si="349"/>
        <v>329.45</v>
      </c>
      <c r="R214" s="102">
        <f t="shared" si="350"/>
        <v>2285.3000000000002</v>
      </c>
      <c r="S214" s="102">
        <f t="shared" si="351"/>
        <v>2614.75</v>
      </c>
      <c r="T214" s="410">
        <f t="shared" si="341"/>
        <v>0.25</v>
      </c>
      <c r="U214" s="408">
        <f t="shared" si="352"/>
        <v>3268.44</v>
      </c>
      <c r="V214" s="171">
        <f>+S214/Resumo!$D$33</f>
        <v>6.2782145989432811E-3</v>
      </c>
      <c r="W214" s="104"/>
      <c r="X214" s="125"/>
      <c r="Y214" s="358"/>
    </row>
    <row r="215" spans="1:25" s="28" customFormat="1" ht="60" x14ac:dyDescent="0.25">
      <c r="A215" s="524" t="s">
        <v>490</v>
      </c>
      <c r="B215" s="518" t="s">
        <v>115</v>
      </c>
      <c r="C215" s="518" t="str">
        <f t="shared" ref="C215" si="354">A215</f>
        <v>2.14.6</v>
      </c>
      <c r="D215" s="520" t="s">
        <v>961</v>
      </c>
      <c r="E215" s="521" t="s">
        <v>46</v>
      </c>
      <c r="F215" s="399"/>
      <c r="G215" s="399"/>
      <c r="H215" s="588"/>
      <c r="I215" s="399">
        <v>0</v>
      </c>
      <c r="J215" s="399">
        <v>0</v>
      </c>
      <c r="K215" s="399">
        <v>0</v>
      </c>
      <c r="L215" s="588">
        <v>0</v>
      </c>
      <c r="M215" s="530">
        <f t="shared" si="336"/>
        <v>0</v>
      </c>
      <c r="N215" s="102">
        <f>(ROUND(VLOOKUP(D215,Comp!$B$2:$M$23042,12,0),2))</f>
        <v>65.89</v>
      </c>
      <c r="O215" s="102">
        <f>ROUND(VLOOKUP(D215,Comp!$B$8:$M$23042,7,0),2)</f>
        <v>356.65</v>
      </c>
      <c r="P215" s="102">
        <f t="shared" ref="P215" si="355">+ROUND(N215+O215,2)</f>
        <v>422.54</v>
      </c>
      <c r="Q215" s="102">
        <f t="shared" ref="Q215" si="356">ROUND(N215*M215,2)</f>
        <v>0</v>
      </c>
      <c r="R215" s="102">
        <f t="shared" ref="R215" si="357">ROUND(O215*M215,2)</f>
        <v>0</v>
      </c>
      <c r="S215" s="102">
        <f t="shared" ref="S215" si="358">ROUND(P215*M215,2)</f>
        <v>0</v>
      </c>
      <c r="T215" s="410">
        <f t="shared" si="341"/>
        <v>0.25</v>
      </c>
      <c r="U215" s="408">
        <f t="shared" ref="U215" si="359">ROUND(S215*(1+T215),2)</f>
        <v>0</v>
      </c>
      <c r="V215" s="171">
        <f>+S215/Resumo!$D$33</f>
        <v>0</v>
      </c>
      <c r="W215" s="104"/>
      <c r="X215" s="125"/>
      <c r="Y215" s="358"/>
    </row>
    <row r="216" spans="1:25" s="28" customFormat="1" ht="45" x14ac:dyDescent="0.25">
      <c r="A216" s="524" t="s">
        <v>491</v>
      </c>
      <c r="B216" s="518" t="s">
        <v>115</v>
      </c>
      <c r="C216" s="518" t="str">
        <f t="shared" si="353"/>
        <v>2.14.7</v>
      </c>
      <c r="D216" s="520" t="s">
        <v>511</v>
      </c>
      <c r="E216" s="521" t="s">
        <v>46</v>
      </c>
      <c r="F216" s="399"/>
      <c r="G216" s="399"/>
      <c r="H216" s="588"/>
      <c r="I216" s="399">
        <v>0</v>
      </c>
      <c r="J216" s="399">
        <v>0</v>
      </c>
      <c r="K216" s="399">
        <v>0</v>
      </c>
      <c r="L216" s="588">
        <v>15</v>
      </c>
      <c r="M216" s="530">
        <f t="shared" si="336"/>
        <v>15</v>
      </c>
      <c r="N216" s="102">
        <f>(ROUND(VLOOKUP(D216,Comp!$B$2:$M$23042,12,0),2))</f>
        <v>30.74</v>
      </c>
      <c r="O216" s="102">
        <f>ROUND(VLOOKUP(D216,Comp!$B$8:$M$23042,7,0),2)</f>
        <v>412.59</v>
      </c>
      <c r="P216" s="102">
        <f t="shared" si="348"/>
        <v>443.33</v>
      </c>
      <c r="Q216" s="102">
        <f t="shared" si="349"/>
        <v>461.1</v>
      </c>
      <c r="R216" s="102">
        <f t="shared" si="350"/>
        <v>6188.85</v>
      </c>
      <c r="S216" s="102">
        <f t="shared" si="351"/>
        <v>6649.95</v>
      </c>
      <c r="T216" s="410">
        <f t="shared" si="341"/>
        <v>0.25</v>
      </c>
      <c r="U216" s="408">
        <f t="shared" si="352"/>
        <v>8312.44</v>
      </c>
      <c r="V216" s="171">
        <f>+S216/Resumo!$D$33</f>
        <v>1.5967038214836169E-2</v>
      </c>
      <c r="W216" s="104"/>
      <c r="X216" s="125"/>
      <c r="Y216" s="358"/>
    </row>
    <row r="217" spans="1:25" s="28" customFormat="1" ht="47.25" customHeight="1" x14ac:dyDescent="0.25">
      <c r="A217" s="524" t="s">
        <v>492</v>
      </c>
      <c r="B217" s="518" t="s">
        <v>115</v>
      </c>
      <c r="C217" s="518" t="str">
        <f t="shared" si="353"/>
        <v>2.14.8</v>
      </c>
      <c r="D217" s="520" t="s">
        <v>512</v>
      </c>
      <c r="E217" s="521" t="s">
        <v>46</v>
      </c>
      <c r="F217" s="399"/>
      <c r="G217" s="399"/>
      <c r="H217" s="588"/>
      <c r="I217" s="399">
        <v>0</v>
      </c>
      <c r="J217" s="399">
        <v>0</v>
      </c>
      <c r="K217" s="399">
        <v>0</v>
      </c>
      <c r="L217" s="588">
        <v>2</v>
      </c>
      <c r="M217" s="530">
        <f t="shared" si="336"/>
        <v>2</v>
      </c>
      <c r="N217" s="102">
        <f>(ROUND(VLOOKUP(D217,Comp!$B$2:$M$23042,12,0),2))</f>
        <v>65.89</v>
      </c>
      <c r="O217" s="102">
        <f>ROUND(VLOOKUP(D217,Comp!$B$8:$M$23042,7,0),2)</f>
        <v>573.03</v>
      </c>
      <c r="P217" s="102">
        <f t="shared" ref="P217" si="360">+ROUND(N217+O217,2)</f>
        <v>638.91999999999996</v>
      </c>
      <c r="Q217" s="102">
        <f t="shared" si="349"/>
        <v>131.78</v>
      </c>
      <c r="R217" s="102">
        <f t="shared" si="350"/>
        <v>1146.06</v>
      </c>
      <c r="S217" s="102">
        <f t="shared" si="351"/>
        <v>1277.8399999999999</v>
      </c>
      <c r="T217" s="410">
        <f t="shared" si="341"/>
        <v>0.25</v>
      </c>
      <c r="U217" s="408">
        <f t="shared" si="352"/>
        <v>1597.3</v>
      </c>
      <c r="V217" s="171">
        <f>+S217/Resumo!$D$33</f>
        <v>3.0681915070709179E-3</v>
      </c>
      <c r="W217" s="104"/>
      <c r="X217" s="125"/>
      <c r="Y217" s="358"/>
    </row>
    <row r="218" spans="1:25" s="28" customFormat="1" ht="60" x14ac:dyDescent="0.25">
      <c r="A218" s="524" t="s">
        <v>493</v>
      </c>
      <c r="B218" s="518" t="s">
        <v>115</v>
      </c>
      <c r="C218" s="518" t="str">
        <f t="shared" si="353"/>
        <v>2.14.9</v>
      </c>
      <c r="D218" s="520" t="s">
        <v>826</v>
      </c>
      <c r="E218" s="521" t="s">
        <v>46</v>
      </c>
      <c r="F218" s="399"/>
      <c r="G218" s="399"/>
      <c r="H218" s="588"/>
      <c r="I218" s="399">
        <v>0</v>
      </c>
      <c r="J218" s="399">
        <v>0</v>
      </c>
      <c r="K218" s="399">
        <v>0</v>
      </c>
      <c r="L218" s="588">
        <v>2</v>
      </c>
      <c r="M218" s="530">
        <f t="shared" si="336"/>
        <v>2</v>
      </c>
      <c r="N218" s="102">
        <f>(ROUND(VLOOKUP(D218,Comp!$B$2:$M$23042,12,0),2))</f>
        <v>65.89</v>
      </c>
      <c r="O218" s="102">
        <f>ROUND(VLOOKUP(D218,Comp!$B$8:$M$23042,7,0),2)</f>
        <v>882.24</v>
      </c>
      <c r="P218" s="102">
        <f t="shared" ref="P218:P225" si="361">+ROUND(N218+O218,2)</f>
        <v>948.13</v>
      </c>
      <c r="Q218" s="102">
        <f t="shared" ref="Q218:Q225" si="362">ROUND(N218*M218,2)</f>
        <v>131.78</v>
      </c>
      <c r="R218" s="102">
        <f t="shared" ref="R218:R225" si="363">ROUND(O218*M218,2)</f>
        <v>1764.48</v>
      </c>
      <c r="S218" s="102">
        <f t="shared" ref="S218:S225" si="364">ROUND(P218*M218,2)</f>
        <v>1896.26</v>
      </c>
      <c r="T218" s="410">
        <f t="shared" si="341"/>
        <v>0.25</v>
      </c>
      <c r="U218" s="408">
        <f t="shared" ref="U218:U225" si="365">ROUND(S218*(1+T218),2)</f>
        <v>2370.33</v>
      </c>
      <c r="V218" s="171">
        <f>+S218/Resumo!$D$33</f>
        <v>4.5530651937631464E-3</v>
      </c>
      <c r="W218" s="104"/>
      <c r="X218" s="125"/>
      <c r="Y218" s="358"/>
    </row>
    <row r="219" spans="1:25" s="28" customFormat="1" ht="47.25" customHeight="1" x14ac:dyDescent="0.25">
      <c r="A219" s="524" t="s">
        <v>494</v>
      </c>
      <c r="B219" s="518" t="s">
        <v>115</v>
      </c>
      <c r="C219" s="518" t="str">
        <f t="shared" si="353"/>
        <v>2.14.10</v>
      </c>
      <c r="D219" s="520" t="s">
        <v>828</v>
      </c>
      <c r="E219" s="521" t="s">
        <v>46</v>
      </c>
      <c r="F219" s="399"/>
      <c r="G219" s="399"/>
      <c r="H219" s="588"/>
      <c r="I219" s="399">
        <v>0</v>
      </c>
      <c r="J219" s="399">
        <v>0</v>
      </c>
      <c r="K219" s="399">
        <v>0</v>
      </c>
      <c r="L219" s="588">
        <v>1</v>
      </c>
      <c r="M219" s="530">
        <f t="shared" si="336"/>
        <v>1</v>
      </c>
      <c r="N219" s="102">
        <f>(ROUND(VLOOKUP(D219,Comp!$B$2:$M$23042,12,0),2))</f>
        <v>65.89</v>
      </c>
      <c r="O219" s="102">
        <f>ROUND(VLOOKUP(D219,Comp!$B$8:$M$23042,7,0),2)</f>
        <v>970.73</v>
      </c>
      <c r="P219" s="102">
        <f t="shared" si="361"/>
        <v>1036.6199999999999</v>
      </c>
      <c r="Q219" s="102">
        <f t="shared" si="362"/>
        <v>65.89</v>
      </c>
      <c r="R219" s="102">
        <f t="shared" si="363"/>
        <v>970.73</v>
      </c>
      <c r="S219" s="102">
        <f t="shared" si="364"/>
        <v>1036.6199999999999</v>
      </c>
      <c r="T219" s="410">
        <f t="shared" si="341"/>
        <v>0.25</v>
      </c>
      <c r="U219" s="408">
        <f t="shared" si="365"/>
        <v>1295.78</v>
      </c>
      <c r="V219" s="171">
        <f>+S219/Resumo!$D$33</f>
        <v>2.4890038502941329E-3</v>
      </c>
      <c r="W219" s="104"/>
      <c r="X219" s="125"/>
      <c r="Y219" s="358"/>
    </row>
    <row r="220" spans="1:25" s="28" customFormat="1" ht="47.25" customHeight="1" x14ac:dyDescent="0.25">
      <c r="A220" s="524" t="s">
        <v>495</v>
      </c>
      <c r="B220" s="518" t="s">
        <v>115</v>
      </c>
      <c r="C220" s="518" t="str">
        <f t="shared" si="353"/>
        <v>2.14.11</v>
      </c>
      <c r="D220" s="520" t="s">
        <v>513</v>
      </c>
      <c r="E220" s="521" t="s">
        <v>46</v>
      </c>
      <c r="F220" s="399"/>
      <c r="G220" s="399"/>
      <c r="H220" s="588"/>
      <c r="I220" s="399">
        <v>0</v>
      </c>
      <c r="J220" s="399">
        <v>0</v>
      </c>
      <c r="K220" s="399">
        <v>0</v>
      </c>
      <c r="L220" s="588">
        <f t="shared" ref="L220:L242" si="366">SUM(I220:K220)</f>
        <v>0</v>
      </c>
      <c r="M220" s="530">
        <f t="shared" si="336"/>
        <v>0</v>
      </c>
      <c r="N220" s="102">
        <f>(ROUND(VLOOKUP(D220,Comp!$B$2:$M$23042,12,0),2))</f>
        <v>65.89</v>
      </c>
      <c r="O220" s="102">
        <f>ROUND(VLOOKUP(D220,Comp!$B$8:$M$23042,7,0),2)</f>
        <v>573.03</v>
      </c>
      <c r="P220" s="102">
        <f t="shared" si="361"/>
        <v>638.91999999999996</v>
      </c>
      <c r="Q220" s="102">
        <f t="shared" si="362"/>
        <v>0</v>
      </c>
      <c r="R220" s="102">
        <f t="shared" si="363"/>
        <v>0</v>
      </c>
      <c r="S220" s="102">
        <f t="shared" si="364"/>
        <v>0</v>
      </c>
      <c r="T220" s="410">
        <f t="shared" si="341"/>
        <v>0.25</v>
      </c>
      <c r="U220" s="408">
        <f t="shared" si="365"/>
        <v>0</v>
      </c>
      <c r="V220" s="171">
        <f>+S220/Resumo!$D$33</f>
        <v>0</v>
      </c>
      <c r="W220" s="104"/>
      <c r="X220" s="125"/>
      <c r="Y220" s="358"/>
    </row>
    <row r="221" spans="1:25" s="28" customFormat="1" ht="47.25" customHeight="1" x14ac:dyDescent="0.25">
      <c r="A221" s="524" t="s">
        <v>496</v>
      </c>
      <c r="B221" s="518" t="s">
        <v>115</v>
      </c>
      <c r="C221" s="518" t="str">
        <f t="shared" si="353"/>
        <v>2.14.12</v>
      </c>
      <c r="D221" s="520" t="s">
        <v>829</v>
      </c>
      <c r="E221" s="521" t="s">
        <v>46</v>
      </c>
      <c r="F221" s="399"/>
      <c r="G221" s="399"/>
      <c r="H221" s="588"/>
      <c r="I221" s="399">
        <v>0</v>
      </c>
      <c r="J221" s="399">
        <v>0</v>
      </c>
      <c r="K221" s="399">
        <v>0</v>
      </c>
      <c r="L221" s="588">
        <f t="shared" si="366"/>
        <v>0</v>
      </c>
      <c r="M221" s="530">
        <f t="shared" si="336"/>
        <v>0</v>
      </c>
      <c r="N221" s="102">
        <f>(ROUND(VLOOKUP(D221,Comp!$B$2:$M$23042,12,0),2))</f>
        <v>65.89</v>
      </c>
      <c r="O221" s="102">
        <f>ROUND(VLOOKUP(D221,Comp!$B$8:$M$23042,7,0),2)</f>
        <v>1171.3</v>
      </c>
      <c r="P221" s="102">
        <f t="shared" si="361"/>
        <v>1237.19</v>
      </c>
      <c r="Q221" s="102">
        <f t="shared" si="362"/>
        <v>0</v>
      </c>
      <c r="R221" s="102">
        <f t="shared" si="363"/>
        <v>0</v>
      </c>
      <c r="S221" s="102">
        <f t="shared" si="364"/>
        <v>0</v>
      </c>
      <c r="T221" s="410">
        <f t="shared" si="341"/>
        <v>0.25</v>
      </c>
      <c r="U221" s="408">
        <f t="shared" si="365"/>
        <v>0</v>
      </c>
      <c r="V221" s="171">
        <f>+S221/Resumo!$D$33</f>
        <v>0</v>
      </c>
      <c r="W221" s="104"/>
      <c r="X221" s="125"/>
      <c r="Y221" s="358"/>
    </row>
    <row r="222" spans="1:25" s="28" customFormat="1" ht="47.25" customHeight="1" x14ac:dyDescent="0.25">
      <c r="A222" s="524" t="s">
        <v>497</v>
      </c>
      <c r="B222" s="518" t="s">
        <v>115</v>
      </c>
      <c r="C222" s="518" t="str">
        <f t="shared" si="353"/>
        <v>2.14.13</v>
      </c>
      <c r="D222" s="520" t="s">
        <v>831</v>
      </c>
      <c r="E222" s="521" t="s">
        <v>46</v>
      </c>
      <c r="F222" s="399"/>
      <c r="G222" s="399"/>
      <c r="H222" s="588"/>
      <c r="I222" s="399">
        <v>0</v>
      </c>
      <c r="J222" s="399">
        <v>0</v>
      </c>
      <c r="K222" s="399">
        <v>0</v>
      </c>
      <c r="L222" s="588">
        <v>7</v>
      </c>
      <c r="M222" s="530">
        <f t="shared" si="336"/>
        <v>7</v>
      </c>
      <c r="N222" s="102">
        <f>(ROUND(VLOOKUP(D222,Comp!$B$2:$M$23042,12,0),2))</f>
        <v>65.89</v>
      </c>
      <c r="O222" s="102">
        <f>ROUND(VLOOKUP(D222,Comp!$B$8:$M$23042,7,0),2)</f>
        <v>882.24</v>
      </c>
      <c r="P222" s="102">
        <f t="shared" si="361"/>
        <v>948.13</v>
      </c>
      <c r="Q222" s="102">
        <f t="shared" si="362"/>
        <v>461.23</v>
      </c>
      <c r="R222" s="102">
        <f t="shared" si="363"/>
        <v>6175.68</v>
      </c>
      <c r="S222" s="102">
        <f t="shared" si="364"/>
        <v>6636.91</v>
      </c>
      <c r="T222" s="410">
        <f t="shared" si="341"/>
        <v>0.25</v>
      </c>
      <c r="U222" s="408">
        <f t="shared" si="365"/>
        <v>8296.14</v>
      </c>
      <c r="V222" s="171">
        <f>+S222/Resumo!$D$33</f>
        <v>1.5935728178171012E-2</v>
      </c>
      <c r="W222" s="104"/>
      <c r="X222" s="125"/>
      <c r="Y222" s="358"/>
    </row>
    <row r="223" spans="1:25" s="28" customFormat="1" ht="47.25" customHeight="1" x14ac:dyDescent="0.25">
      <c r="A223" s="524" t="s">
        <v>498</v>
      </c>
      <c r="B223" s="518" t="s">
        <v>115</v>
      </c>
      <c r="C223" s="518" t="str">
        <f t="shared" si="353"/>
        <v>2.14.14</v>
      </c>
      <c r="D223" s="520" t="s">
        <v>832</v>
      </c>
      <c r="E223" s="521" t="s">
        <v>46</v>
      </c>
      <c r="F223" s="399"/>
      <c r="G223" s="399"/>
      <c r="H223" s="588"/>
      <c r="I223" s="399">
        <v>0</v>
      </c>
      <c r="J223" s="399">
        <v>0</v>
      </c>
      <c r="K223" s="399">
        <v>0</v>
      </c>
      <c r="L223" s="588">
        <v>4</v>
      </c>
      <c r="M223" s="530">
        <f t="shared" si="336"/>
        <v>4</v>
      </c>
      <c r="N223" s="102">
        <f>(ROUND(VLOOKUP(D223,Comp!$B$2:$M$23042,12,0),2))</f>
        <v>65.89</v>
      </c>
      <c r="O223" s="102">
        <f>ROUND(VLOOKUP(D223,Comp!$B$8:$M$23042,7,0),2)</f>
        <v>353.92</v>
      </c>
      <c r="P223" s="102">
        <f t="shared" si="361"/>
        <v>419.81</v>
      </c>
      <c r="Q223" s="102">
        <f t="shared" si="362"/>
        <v>263.56</v>
      </c>
      <c r="R223" s="102">
        <f t="shared" si="363"/>
        <v>1415.68</v>
      </c>
      <c r="S223" s="102">
        <f t="shared" si="364"/>
        <v>1679.24</v>
      </c>
      <c r="T223" s="410">
        <f t="shared" si="341"/>
        <v>0.25</v>
      </c>
      <c r="U223" s="408">
        <f t="shared" si="365"/>
        <v>2099.0500000000002</v>
      </c>
      <c r="V223" s="171">
        <f>+S223/Resumo!$D$33</f>
        <v>4.0319835866256875E-3</v>
      </c>
      <c r="W223" s="104"/>
      <c r="X223" s="125"/>
      <c r="Y223" s="358"/>
    </row>
    <row r="224" spans="1:25" s="28" customFormat="1" ht="45" x14ac:dyDescent="0.25">
      <c r="A224" s="524" t="s">
        <v>499</v>
      </c>
      <c r="B224" s="518" t="s">
        <v>115</v>
      </c>
      <c r="C224" s="518" t="str">
        <f t="shared" si="353"/>
        <v>2.14.15</v>
      </c>
      <c r="D224" s="520" t="s">
        <v>594</v>
      </c>
      <c r="E224" s="521" t="s">
        <v>46</v>
      </c>
      <c r="F224" s="399"/>
      <c r="G224" s="399"/>
      <c r="H224" s="588"/>
      <c r="I224" s="399">
        <v>0</v>
      </c>
      <c r="J224" s="399">
        <v>0</v>
      </c>
      <c r="K224" s="399">
        <v>0</v>
      </c>
      <c r="L224" s="588">
        <v>10</v>
      </c>
      <c r="M224" s="530">
        <f t="shared" si="336"/>
        <v>10</v>
      </c>
      <c r="N224" s="102">
        <f>(ROUND(VLOOKUP(D224,Comp!$B$2:$M$23042,12,0),2))</f>
        <v>52.71</v>
      </c>
      <c r="O224" s="102">
        <f>ROUND(VLOOKUP(D224,Comp!$B$8:$M$23042,7,0),2)</f>
        <v>433.65</v>
      </c>
      <c r="P224" s="102">
        <f t="shared" si="361"/>
        <v>486.36</v>
      </c>
      <c r="Q224" s="102">
        <f t="shared" si="362"/>
        <v>527.1</v>
      </c>
      <c r="R224" s="102">
        <f t="shared" si="363"/>
        <v>4336.5</v>
      </c>
      <c r="S224" s="102">
        <f t="shared" si="364"/>
        <v>4863.6000000000004</v>
      </c>
      <c r="T224" s="410">
        <f t="shared" si="341"/>
        <v>0.25</v>
      </c>
      <c r="U224" s="408">
        <f t="shared" si="365"/>
        <v>6079.5</v>
      </c>
      <c r="V224" s="171">
        <f>+S224/Resumo!$D$33</f>
        <v>1.1677875331645682E-2</v>
      </c>
      <c r="W224" s="104"/>
      <c r="X224" s="125"/>
      <c r="Y224" s="358"/>
    </row>
    <row r="225" spans="1:25" s="28" customFormat="1" ht="47.25" customHeight="1" x14ac:dyDescent="0.25">
      <c r="A225" s="524" t="s">
        <v>500</v>
      </c>
      <c r="B225" s="518" t="s">
        <v>115</v>
      </c>
      <c r="C225" s="518" t="str">
        <f t="shared" si="353"/>
        <v>2.14.16</v>
      </c>
      <c r="D225" s="520" t="s">
        <v>835</v>
      </c>
      <c r="E225" s="521" t="s">
        <v>46</v>
      </c>
      <c r="F225" s="399"/>
      <c r="G225" s="399"/>
      <c r="H225" s="588"/>
      <c r="I225" s="399">
        <v>0</v>
      </c>
      <c r="J225" s="399">
        <v>0</v>
      </c>
      <c r="K225" s="399">
        <v>0</v>
      </c>
      <c r="L225" s="588">
        <v>1</v>
      </c>
      <c r="M225" s="530">
        <f t="shared" si="336"/>
        <v>1</v>
      </c>
      <c r="N225" s="102">
        <f>(ROUND(VLOOKUP(D225,Comp!$B$2:$M$23042,12,0),2))</f>
        <v>52.71</v>
      </c>
      <c r="O225" s="102">
        <f>ROUND(VLOOKUP(D225,Comp!$B$8:$M$23042,7,0),2)</f>
        <v>366.74</v>
      </c>
      <c r="P225" s="102">
        <f t="shared" si="361"/>
        <v>419.45</v>
      </c>
      <c r="Q225" s="102">
        <f t="shared" si="362"/>
        <v>52.71</v>
      </c>
      <c r="R225" s="102">
        <f t="shared" si="363"/>
        <v>366.74</v>
      </c>
      <c r="S225" s="102">
        <f t="shared" si="364"/>
        <v>419.45</v>
      </c>
      <c r="T225" s="410">
        <f t="shared" si="341"/>
        <v>0.25</v>
      </c>
      <c r="U225" s="408">
        <f t="shared" si="365"/>
        <v>524.30999999999995</v>
      </c>
      <c r="V225" s="171">
        <f>+S225/Resumo!$D$33</f>
        <v>1.007131509141126E-3</v>
      </c>
      <c r="W225" s="104"/>
      <c r="X225" s="125"/>
      <c r="Y225" s="358"/>
    </row>
    <row r="226" spans="1:25" s="28" customFormat="1" x14ac:dyDescent="0.25">
      <c r="A226" s="524" t="s">
        <v>501</v>
      </c>
      <c r="B226" s="518" t="s">
        <v>115</v>
      </c>
      <c r="C226" s="518" t="str">
        <f t="shared" si="353"/>
        <v>2.14.17</v>
      </c>
      <c r="D226" s="520" t="s">
        <v>853</v>
      </c>
      <c r="E226" s="521" t="s">
        <v>46</v>
      </c>
      <c r="F226" s="399"/>
      <c r="G226" s="399"/>
      <c r="H226" s="588"/>
      <c r="I226" s="399">
        <v>0</v>
      </c>
      <c r="J226" s="399">
        <v>0</v>
      </c>
      <c r="K226" s="399">
        <v>0</v>
      </c>
      <c r="L226" s="588">
        <f t="shared" si="366"/>
        <v>0</v>
      </c>
      <c r="M226" s="530">
        <f t="shared" si="336"/>
        <v>0</v>
      </c>
      <c r="N226" s="102">
        <f>(ROUND(VLOOKUP(D226,Comp!$B$2:$M$23042,12,0),2))</f>
        <v>26.35</v>
      </c>
      <c r="O226" s="102">
        <f>ROUND(VLOOKUP(D226,Comp!$B$8:$M$23042,7,0),2)</f>
        <v>168.5</v>
      </c>
      <c r="P226" s="102">
        <f t="shared" ref="P226:P244" si="367">+ROUND(N226+O226,2)</f>
        <v>194.85</v>
      </c>
      <c r="Q226" s="102">
        <f t="shared" ref="Q226:Q244" si="368">ROUND(N226*M226,2)</f>
        <v>0</v>
      </c>
      <c r="R226" s="102">
        <f t="shared" ref="R226:R244" si="369">ROUND(O226*M226,2)</f>
        <v>0</v>
      </c>
      <c r="S226" s="102">
        <f t="shared" ref="S226:S244" si="370">ROUND(P226*M226,2)</f>
        <v>0</v>
      </c>
      <c r="T226" s="410">
        <f t="shared" si="341"/>
        <v>0.25</v>
      </c>
      <c r="U226" s="408">
        <f t="shared" ref="U226:U244" si="371">ROUND(S226*(1+T226),2)</f>
        <v>0</v>
      </c>
      <c r="V226" s="171">
        <f>+S226/Resumo!$D$33</f>
        <v>0</v>
      </c>
      <c r="W226" s="104"/>
      <c r="X226" s="125"/>
      <c r="Y226" s="358"/>
    </row>
    <row r="227" spans="1:25" s="28" customFormat="1" ht="60" x14ac:dyDescent="0.25">
      <c r="A227" s="524" t="s">
        <v>502</v>
      </c>
      <c r="B227" s="518" t="s">
        <v>115</v>
      </c>
      <c r="C227" s="518" t="str">
        <f t="shared" si="353"/>
        <v>2.14.18</v>
      </c>
      <c r="D227" s="520" t="s">
        <v>852</v>
      </c>
      <c r="E227" s="521" t="s">
        <v>46</v>
      </c>
      <c r="F227" s="399"/>
      <c r="G227" s="399"/>
      <c r="H227" s="588"/>
      <c r="I227" s="399">
        <v>0</v>
      </c>
      <c r="J227" s="399">
        <v>0</v>
      </c>
      <c r="K227" s="399">
        <v>0</v>
      </c>
      <c r="L227" s="588">
        <v>0</v>
      </c>
      <c r="M227" s="530">
        <f t="shared" si="336"/>
        <v>0</v>
      </c>
      <c r="N227" s="102">
        <f>(ROUND(VLOOKUP(D227,Comp!$B$2:$M$23042,12,0),2))</f>
        <v>351.36</v>
      </c>
      <c r="O227" s="102">
        <f>ROUND(VLOOKUP(D227,Comp!$B$8:$M$23042,7,0),2)</f>
        <v>16239.5</v>
      </c>
      <c r="P227" s="102">
        <f t="shared" si="367"/>
        <v>16590.86</v>
      </c>
      <c r="Q227" s="102">
        <f t="shared" si="368"/>
        <v>0</v>
      </c>
      <c r="R227" s="102">
        <f t="shared" si="369"/>
        <v>0</v>
      </c>
      <c r="S227" s="102">
        <f t="shared" si="370"/>
        <v>0</v>
      </c>
      <c r="T227" s="410">
        <f t="shared" si="341"/>
        <v>0.25</v>
      </c>
      <c r="U227" s="408">
        <f t="shared" si="371"/>
        <v>0</v>
      </c>
      <c r="V227" s="171">
        <f>+S227/Resumo!$D$33</f>
        <v>0</v>
      </c>
      <c r="W227" s="104"/>
      <c r="X227" s="125">
        <v>2</v>
      </c>
      <c r="Y227" s="358">
        <f t="shared" ref="Y227:Y244" si="372">X227-M227</f>
        <v>2</v>
      </c>
    </row>
    <row r="228" spans="1:25" s="28" customFormat="1" ht="45" customHeight="1" x14ac:dyDescent="0.25">
      <c r="A228" s="524" t="s">
        <v>503</v>
      </c>
      <c r="B228" s="518" t="s">
        <v>115</v>
      </c>
      <c r="C228" s="518" t="str">
        <f t="shared" si="353"/>
        <v>2.14.19</v>
      </c>
      <c r="D228" s="520" t="s">
        <v>854</v>
      </c>
      <c r="E228" s="521" t="s">
        <v>46</v>
      </c>
      <c r="F228" s="399"/>
      <c r="G228" s="399"/>
      <c r="H228" s="588"/>
      <c r="I228" s="399">
        <v>0</v>
      </c>
      <c r="J228" s="399">
        <v>0</v>
      </c>
      <c r="K228" s="399">
        <v>0</v>
      </c>
      <c r="L228" s="588">
        <f t="shared" si="366"/>
        <v>0</v>
      </c>
      <c r="M228" s="530">
        <f t="shared" si="336"/>
        <v>0</v>
      </c>
      <c r="N228" s="102">
        <f>(ROUND(VLOOKUP(D228,Comp!$B$2:$M$23042,12,0),2))</f>
        <v>263.52</v>
      </c>
      <c r="O228" s="102">
        <f>ROUND(VLOOKUP(D228,Comp!$B$8:$M$23042,7,0),2)</f>
        <v>4567.5</v>
      </c>
      <c r="P228" s="102">
        <f t="shared" ref="P228:P241" si="373">+ROUND(N228+O228,2)</f>
        <v>4831.0200000000004</v>
      </c>
      <c r="Q228" s="102">
        <f t="shared" ref="Q228:Q241" si="374">ROUND(N228*M228,2)</f>
        <v>0</v>
      </c>
      <c r="R228" s="102">
        <f t="shared" ref="R228:R241" si="375">ROUND(O228*M228,2)</f>
        <v>0</v>
      </c>
      <c r="S228" s="102">
        <f t="shared" ref="S228:S241" si="376">ROUND(P228*M228,2)</f>
        <v>0</v>
      </c>
      <c r="T228" s="410">
        <f t="shared" si="341"/>
        <v>0.25</v>
      </c>
      <c r="U228" s="408">
        <f t="shared" ref="U228:U241" si="377">ROUND(S228*(1+T228),2)</f>
        <v>0</v>
      </c>
      <c r="V228" s="171">
        <f>+S228/Resumo!$D$33</f>
        <v>0</v>
      </c>
      <c r="W228" s="104"/>
      <c r="X228" s="125">
        <v>1</v>
      </c>
      <c r="Y228" s="358">
        <f t="shared" si="372"/>
        <v>1</v>
      </c>
    </row>
    <row r="229" spans="1:25" s="28" customFormat="1" ht="45" x14ac:dyDescent="0.25">
      <c r="A229" s="524" t="s">
        <v>504</v>
      </c>
      <c r="B229" s="518" t="s">
        <v>115</v>
      </c>
      <c r="C229" s="518" t="str">
        <f t="shared" si="353"/>
        <v>2.14.20</v>
      </c>
      <c r="D229" s="520" t="s">
        <v>855</v>
      </c>
      <c r="E229" s="521" t="s">
        <v>46</v>
      </c>
      <c r="F229" s="399"/>
      <c r="G229" s="399"/>
      <c r="H229" s="588"/>
      <c r="I229" s="399">
        <v>0</v>
      </c>
      <c r="J229" s="399">
        <v>0</v>
      </c>
      <c r="K229" s="399">
        <v>0</v>
      </c>
      <c r="L229" s="588">
        <f t="shared" si="366"/>
        <v>0</v>
      </c>
      <c r="M229" s="530">
        <f t="shared" si="336"/>
        <v>0</v>
      </c>
      <c r="N229" s="102">
        <f>(ROUND(VLOOKUP(D229,Comp!$B$2:$M$23042,12,0),2))</f>
        <v>109.81</v>
      </c>
      <c r="O229" s="102">
        <f>ROUND(VLOOKUP(D229,Comp!$B$8:$M$23042,7,0),2)</f>
        <v>525</v>
      </c>
      <c r="P229" s="102">
        <f t="shared" si="373"/>
        <v>634.80999999999995</v>
      </c>
      <c r="Q229" s="102">
        <f t="shared" si="374"/>
        <v>0</v>
      </c>
      <c r="R229" s="102">
        <f t="shared" si="375"/>
        <v>0</v>
      </c>
      <c r="S229" s="102">
        <f t="shared" si="376"/>
        <v>0</v>
      </c>
      <c r="T229" s="410">
        <f t="shared" si="341"/>
        <v>0.25</v>
      </c>
      <c r="U229" s="408">
        <f t="shared" si="377"/>
        <v>0</v>
      </c>
      <c r="V229" s="171">
        <f>+S229/Resumo!$D$33</f>
        <v>0</v>
      </c>
      <c r="W229" s="104"/>
      <c r="X229" s="125">
        <v>1</v>
      </c>
      <c r="Y229" s="358">
        <f t="shared" si="372"/>
        <v>1</v>
      </c>
    </row>
    <row r="230" spans="1:25" s="28" customFormat="1" x14ac:dyDescent="0.25">
      <c r="A230" s="524" t="s">
        <v>827</v>
      </c>
      <c r="B230" s="518" t="s">
        <v>115</v>
      </c>
      <c r="C230" s="518" t="str">
        <f t="shared" si="353"/>
        <v>2.14.21</v>
      </c>
      <c r="D230" s="520" t="s">
        <v>857</v>
      </c>
      <c r="E230" s="521" t="s">
        <v>46</v>
      </c>
      <c r="F230" s="399"/>
      <c r="G230" s="399"/>
      <c r="H230" s="588"/>
      <c r="I230" s="399">
        <v>0</v>
      </c>
      <c r="J230" s="399">
        <v>0</v>
      </c>
      <c r="K230" s="399">
        <v>0</v>
      </c>
      <c r="L230" s="588">
        <f t="shared" si="366"/>
        <v>0</v>
      </c>
      <c r="M230" s="530">
        <f t="shared" si="336"/>
        <v>0</v>
      </c>
      <c r="N230" s="102">
        <f>(ROUND(VLOOKUP(D230,Comp!$B$2:$M$23042,12,0),2))</f>
        <v>5.97</v>
      </c>
      <c r="O230" s="102">
        <f>ROUND(VLOOKUP(D230,Comp!$B$8:$M$23042,7,0),2)</f>
        <v>66.150000000000006</v>
      </c>
      <c r="P230" s="102">
        <f t="shared" si="373"/>
        <v>72.12</v>
      </c>
      <c r="Q230" s="102">
        <f t="shared" si="374"/>
        <v>0</v>
      </c>
      <c r="R230" s="102">
        <f t="shared" si="375"/>
        <v>0</v>
      </c>
      <c r="S230" s="102">
        <f t="shared" si="376"/>
        <v>0</v>
      </c>
      <c r="T230" s="410">
        <f t="shared" si="341"/>
        <v>0.25</v>
      </c>
      <c r="U230" s="408">
        <f t="shared" si="377"/>
        <v>0</v>
      </c>
      <c r="V230" s="171">
        <f>+S230/Resumo!$D$33</f>
        <v>0</v>
      </c>
      <c r="W230" s="104"/>
      <c r="X230" s="125">
        <v>2</v>
      </c>
      <c r="Y230" s="358">
        <f t="shared" si="372"/>
        <v>2</v>
      </c>
    </row>
    <row r="231" spans="1:25" s="28" customFormat="1" ht="30" x14ac:dyDescent="0.25">
      <c r="A231" s="524" t="s">
        <v>830</v>
      </c>
      <c r="B231" s="518" t="s">
        <v>115</v>
      </c>
      <c r="C231" s="518" t="str">
        <f t="shared" si="353"/>
        <v>2.14.22</v>
      </c>
      <c r="D231" s="520" t="s">
        <v>856</v>
      </c>
      <c r="E231" s="521" t="s">
        <v>46</v>
      </c>
      <c r="F231" s="399"/>
      <c r="G231" s="399"/>
      <c r="H231" s="588"/>
      <c r="I231" s="399">
        <v>0</v>
      </c>
      <c r="J231" s="399">
        <v>0</v>
      </c>
      <c r="K231" s="399">
        <v>0</v>
      </c>
      <c r="L231" s="588">
        <f t="shared" si="366"/>
        <v>0</v>
      </c>
      <c r="M231" s="530">
        <f t="shared" si="336"/>
        <v>0</v>
      </c>
      <c r="N231" s="102">
        <f>(ROUND(VLOOKUP(D231,Comp!$B$2:$M$23042,12,0),2))</f>
        <v>5.97</v>
      </c>
      <c r="O231" s="102">
        <f>ROUND(VLOOKUP(D231,Comp!$B$8:$M$23042,7,0),2)</f>
        <v>38.68</v>
      </c>
      <c r="P231" s="102">
        <f t="shared" si="373"/>
        <v>44.65</v>
      </c>
      <c r="Q231" s="102">
        <f t="shared" si="374"/>
        <v>0</v>
      </c>
      <c r="R231" s="102">
        <f t="shared" si="375"/>
        <v>0</v>
      </c>
      <c r="S231" s="102">
        <f t="shared" si="376"/>
        <v>0</v>
      </c>
      <c r="T231" s="410">
        <f t="shared" si="341"/>
        <v>0.25</v>
      </c>
      <c r="U231" s="408">
        <f t="shared" si="377"/>
        <v>0</v>
      </c>
      <c r="V231" s="171">
        <f>+S231/Resumo!$D$33</f>
        <v>0</v>
      </c>
      <c r="W231" s="104"/>
      <c r="X231" s="125">
        <v>1</v>
      </c>
      <c r="Y231" s="358">
        <f t="shared" si="372"/>
        <v>1</v>
      </c>
    </row>
    <row r="232" spans="1:25" s="28" customFormat="1" x14ac:dyDescent="0.25">
      <c r="A232" s="524" t="s">
        <v>833</v>
      </c>
      <c r="B232" s="518" t="s">
        <v>115</v>
      </c>
      <c r="C232" s="518" t="str">
        <f t="shared" si="353"/>
        <v>2.14.23</v>
      </c>
      <c r="D232" s="520" t="s">
        <v>847</v>
      </c>
      <c r="E232" s="521" t="s">
        <v>46</v>
      </c>
      <c r="F232" s="399"/>
      <c r="G232" s="399"/>
      <c r="H232" s="588"/>
      <c r="I232" s="399">
        <v>0</v>
      </c>
      <c r="J232" s="399">
        <v>0</v>
      </c>
      <c r="K232" s="399">
        <v>0</v>
      </c>
      <c r="L232" s="588">
        <f t="shared" si="366"/>
        <v>0</v>
      </c>
      <c r="M232" s="530">
        <f t="shared" si="336"/>
        <v>0</v>
      </c>
      <c r="N232" s="102">
        <f>(ROUND(VLOOKUP(D232,Comp!$B$2:$M$23042,12,0),2))</f>
        <v>30.74</v>
      </c>
      <c r="O232" s="102">
        <f>ROUND(VLOOKUP(D232,Comp!$B$8:$M$23042,7,0),2)</f>
        <v>422.99</v>
      </c>
      <c r="P232" s="102">
        <f t="shared" si="373"/>
        <v>453.73</v>
      </c>
      <c r="Q232" s="102">
        <f t="shared" si="374"/>
        <v>0</v>
      </c>
      <c r="R232" s="102">
        <f t="shared" si="375"/>
        <v>0</v>
      </c>
      <c r="S232" s="102">
        <f t="shared" si="376"/>
        <v>0</v>
      </c>
      <c r="T232" s="410">
        <f t="shared" si="341"/>
        <v>0.25</v>
      </c>
      <c r="U232" s="408">
        <f t="shared" si="377"/>
        <v>0</v>
      </c>
      <c r="V232" s="171">
        <f>+S232/Resumo!$D$33</f>
        <v>0</v>
      </c>
      <c r="W232" s="104"/>
      <c r="X232" s="125">
        <v>2</v>
      </c>
      <c r="Y232" s="358">
        <f t="shared" si="372"/>
        <v>2</v>
      </c>
    </row>
    <row r="233" spans="1:25" s="28" customFormat="1" x14ac:dyDescent="0.25">
      <c r="A233" s="524" t="s">
        <v>834</v>
      </c>
      <c r="B233" s="518" t="s">
        <v>115</v>
      </c>
      <c r="C233" s="518" t="str">
        <f t="shared" si="353"/>
        <v>2.14.24</v>
      </c>
      <c r="D233" s="520" t="s">
        <v>848</v>
      </c>
      <c r="E233" s="521" t="s">
        <v>46</v>
      </c>
      <c r="F233" s="399"/>
      <c r="G233" s="399"/>
      <c r="H233" s="588"/>
      <c r="I233" s="399">
        <v>0</v>
      </c>
      <c r="J233" s="399">
        <v>0</v>
      </c>
      <c r="K233" s="399">
        <v>0</v>
      </c>
      <c r="L233" s="588">
        <f t="shared" si="366"/>
        <v>0</v>
      </c>
      <c r="M233" s="530">
        <f t="shared" si="336"/>
        <v>0</v>
      </c>
      <c r="N233" s="102">
        <f>(ROUND(VLOOKUP(D233,Comp!$B$2:$M$23042,12,0),2))</f>
        <v>30.74</v>
      </c>
      <c r="O233" s="102">
        <f>ROUND(VLOOKUP(D233,Comp!$B$8:$M$23042,7,0),2)</f>
        <v>133.44</v>
      </c>
      <c r="P233" s="102">
        <f t="shared" si="373"/>
        <v>164.18</v>
      </c>
      <c r="Q233" s="102">
        <f t="shared" si="374"/>
        <v>0</v>
      </c>
      <c r="R233" s="102">
        <f t="shared" si="375"/>
        <v>0</v>
      </c>
      <c r="S233" s="102">
        <f t="shared" si="376"/>
        <v>0</v>
      </c>
      <c r="T233" s="410">
        <f t="shared" si="341"/>
        <v>0.25</v>
      </c>
      <c r="U233" s="408">
        <f t="shared" si="377"/>
        <v>0</v>
      </c>
      <c r="V233" s="171">
        <f>+S233/Resumo!$D$33</f>
        <v>0</v>
      </c>
      <c r="W233" s="104"/>
      <c r="X233" s="125">
        <v>1</v>
      </c>
      <c r="Y233" s="358">
        <f t="shared" si="372"/>
        <v>1</v>
      </c>
    </row>
    <row r="234" spans="1:25" s="28" customFormat="1" x14ac:dyDescent="0.25">
      <c r="A234" s="524" t="s">
        <v>836</v>
      </c>
      <c r="B234" s="518" t="s">
        <v>115</v>
      </c>
      <c r="C234" s="518" t="str">
        <f t="shared" si="353"/>
        <v>2.14.25</v>
      </c>
      <c r="D234" s="520" t="s">
        <v>920</v>
      </c>
      <c r="E234" s="521" t="s">
        <v>46</v>
      </c>
      <c r="F234" s="399"/>
      <c r="G234" s="399"/>
      <c r="H234" s="588"/>
      <c r="I234" s="399">
        <v>0</v>
      </c>
      <c r="J234" s="399">
        <v>0</v>
      </c>
      <c r="K234" s="399">
        <v>0</v>
      </c>
      <c r="L234" s="588">
        <f t="shared" si="366"/>
        <v>0</v>
      </c>
      <c r="M234" s="530">
        <f t="shared" si="336"/>
        <v>0</v>
      </c>
      <c r="N234" s="102">
        <f>(ROUND(VLOOKUP(D234,Comp!$B$2:$M$23042,12,0),2))</f>
        <v>21.97</v>
      </c>
      <c r="O234" s="102">
        <f>ROUND(VLOOKUP(D234,Comp!$B$8:$M$23042,7,0),2)</f>
        <v>222.5</v>
      </c>
      <c r="P234" s="102">
        <f t="shared" si="373"/>
        <v>244.47</v>
      </c>
      <c r="Q234" s="102">
        <f t="shared" si="374"/>
        <v>0</v>
      </c>
      <c r="R234" s="102">
        <f t="shared" si="375"/>
        <v>0</v>
      </c>
      <c r="S234" s="102">
        <f t="shared" si="376"/>
        <v>0</v>
      </c>
      <c r="T234" s="410">
        <f t="shared" si="341"/>
        <v>0.25</v>
      </c>
      <c r="U234" s="408">
        <f t="shared" si="377"/>
        <v>0</v>
      </c>
      <c r="V234" s="171">
        <f>+S234/Resumo!$D$33</f>
        <v>0</v>
      </c>
      <c r="W234" s="104"/>
      <c r="X234" s="125">
        <v>2</v>
      </c>
      <c r="Y234" s="358">
        <f t="shared" si="372"/>
        <v>2</v>
      </c>
    </row>
    <row r="235" spans="1:25" s="28" customFormat="1" x14ac:dyDescent="0.25">
      <c r="A235" s="524" t="s">
        <v>837</v>
      </c>
      <c r="B235" s="518" t="s">
        <v>115</v>
      </c>
      <c r="C235" s="518" t="str">
        <f t="shared" si="353"/>
        <v>2.14.26</v>
      </c>
      <c r="D235" s="520" t="s">
        <v>921</v>
      </c>
      <c r="E235" s="521" t="s">
        <v>46</v>
      </c>
      <c r="F235" s="399"/>
      <c r="G235" s="399"/>
      <c r="H235" s="588"/>
      <c r="I235" s="399">
        <v>0</v>
      </c>
      <c r="J235" s="399">
        <v>0</v>
      </c>
      <c r="K235" s="399">
        <v>0</v>
      </c>
      <c r="L235" s="588">
        <f t="shared" si="366"/>
        <v>0</v>
      </c>
      <c r="M235" s="530">
        <f t="shared" si="336"/>
        <v>0</v>
      </c>
      <c r="N235" s="102">
        <f>(ROUND(VLOOKUP(D235,Comp!$B$2:$M$23042,12,0),2))</f>
        <v>21.97</v>
      </c>
      <c r="O235" s="102">
        <f>ROUND(VLOOKUP(D235,Comp!$B$8:$M$23042,7,0),2)</f>
        <v>158.88</v>
      </c>
      <c r="P235" s="102">
        <f t="shared" si="373"/>
        <v>180.85</v>
      </c>
      <c r="Q235" s="102">
        <f t="shared" si="374"/>
        <v>0</v>
      </c>
      <c r="R235" s="102">
        <f t="shared" si="375"/>
        <v>0</v>
      </c>
      <c r="S235" s="102">
        <f t="shared" si="376"/>
        <v>0</v>
      </c>
      <c r="T235" s="410">
        <f t="shared" si="341"/>
        <v>0.25</v>
      </c>
      <c r="U235" s="408">
        <f t="shared" si="377"/>
        <v>0</v>
      </c>
      <c r="V235" s="171">
        <f>+S235/Resumo!$D$33</f>
        <v>0</v>
      </c>
      <c r="W235" s="104"/>
      <c r="X235" s="125">
        <v>1</v>
      </c>
      <c r="Y235" s="358">
        <f t="shared" si="372"/>
        <v>1</v>
      </c>
    </row>
    <row r="236" spans="1:25" s="28" customFormat="1" ht="30" x14ac:dyDescent="0.25">
      <c r="A236" s="524" t="s">
        <v>838</v>
      </c>
      <c r="B236" s="518" t="s">
        <v>94</v>
      </c>
      <c r="C236" s="519">
        <v>91925</v>
      </c>
      <c r="D236" s="520" t="s">
        <v>849</v>
      </c>
      <c r="E236" s="521" t="s">
        <v>58</v>
      </c>
      <c r="F236" s="399"/>
      <c r="G236" s="399"/>
      <c r="H236" s="588"/>
      <c r="I236" s="399">
        <v>0</v>
      </c>
      <c r="J236" s="399">
        <v>0</v>
      </c>
      <c r="K236" s="399">
        <v>0</v>
      </c>
      <c r="L236" s="588">
        <f t="shared" si="366"/>
        <v>0</v>
      </c>
      <c r="M236" s="530">
        <f t="shared" si="336"/>
        <v>0</v>
      </c>
      <c r="N236" s="102">
        <v>0.74</v>
      </c>
      <c r="O236" s="102">
        <v>3.27</v>
      </c>
      <c r="P236" s="102">
        <f t="shared" si="373"/>
        <v>4.01</v>
      </c>
      <c r="Q236" s="102">
        <f t="shared" si="374"/>
        <v>0</v>
      </c>
      <c r="R236" s="102">
        <f t="shared" si="375"/>
        <v>0</v>
      </c>
      <c r="S236" s="102">
        <f t="shared" si="376"/>
        <v>0</v>
      </c>
      <c r="T236" s="410">
        <f t="shared" si="341"/>
        <v>0.25</v>
      </c>
      <c r="U236" s="408">
        <f t="shared" si="377"/>
        <v>0</v>
      </c>
      <c r="V236" s="171">
        <f>+S236/Resumo!$D$33</f>
        <v>0</v>
      </c>
      <c r="W236" s="104"/>
      <c r="X236" s="125">
        <v>100</v>
      </c>
      <c r="Y236" s="358">
        <f t="shared" si="372"/>
        <v>100</v>
      </c>
    </row>
    <row r="237" spans="1:25" s="28" customFormat="1" x14ac:dyDescent="0.25">
      <c r="A237" s="524" t="s">
        <v>839</v>
      </c>
      <c r="B237" s="518" t="s">
        <v>115</v>
      </c>
      <c r="C237" s="518" t="str">
        <f t="shared" si="353"/>
        <v>2.14.28</v>
      </c>
      <c r="D237" s="520" t="s">
        <v>937</v>
      </c>
      <c r="E237" s="521" t="s">
        <v>58</v>
      </c>
      <c r="F237" s="399"/>
      <c r="G237" s="399"/>
      <c r="H237" s="588"/>
      <c r="I237" s="399">
        <v>0</v>
      </c>
      <c r="J237" s="399">
        <v>0</v>
      </c>
      <c r="K237" s="399">
        <v>0</v>
      </c>
      <c r="L237" s="588">
        <f t="shared" si="366"/>
        <v>0</v>
      </c>
      <c r="M237" s="530">
        <f t="shared" si="336"/>
        <v>0</v>
      </c>
      <c r="N237" s="102">
        <f>(ROUND(VLOOKUP(D237,Comp!$B$2:$M$23042,12,0),2))</f>
        <v>2.99</v>
      </c>
      <c r="O237" s="102">
        <f>ROUND(VLOOKUP(D237,Comp!$B$8:$M$23042,7,0),2)</f>
        <v>22.94</v>
      </c>
      <c r="P237" s="102">
        <f t="shared" si="373"/>
        <v>25.93</v>
      </c>
      <c r="Q237" s="102">
        <f t="shared" si="374"/>
        <v>0</v>
      </c>
      <c r="R237" s="102">
        <f t="shared" si="375"/>
        <v>0</v>
      </c>
      <c r="S237" s="102">
        <f t="shared" si="376"/>
        <v>0</v>
      </c>
      <c r="T237" s="410">
        <f t="shared" si="341"/>
        <v>0.25</v>
      </c>
      <c r="U237" s="408">
        <f t="shared" si="377"/>
        <v>0</v>
      </c>
      <c r="V237" s="171">
        <f>+S237/Resumo!$D$33</f>
        <v>0</v>
      </c>
      <c r="W237" s="104"/>
      <c r="X237" s="125">
        <v>25</v>
      </c>
      <c r="Y237" s="358">
        <f t="shared" si="372"/>
        <v>25</v>
      </c>
    </row>
    <row r="238" spans="1:25" s="28" customFormat="1" ht="30" x14ac:dyDescent="0.25">
      <c r="A238" s="524" t="s">
        <v>840</v>
      </c>
      <c r="B238" s="518" t="s">
        <v>115</v>
      </c>
      <c r="C238" s="518" t="str">
        <f t="shared" si="353"/>
        <v>2.14.29</v>
      </c>
      <c r="D238" s="520" t="s">
        <v>850</v>
      </c>
      <c r="E238" s="521" t="s">
        <v>46</v>
      </c>
      <c r="F238" s="399"/>
      <c r="G238" s="399"/>
      <c r="H238" s="588"/>
      <c r="I238" s="399">
        <v>0</v>
      </c>
      <c r="J238" s="399">
        <v>0</v>
      </c>
      <c r="K238" s="399">
        <v>0</v>
      </c>
      <c r="L238" s="588">
        <f t="shared" si="366"/>
        <v>0</v>
      </c>
      <c r="M238" s="530">
        <f t="shared" si="336"/>
        <v>0</v>
      </c>
      <c r="N238" s="102">
        <f>(ROUND(VLOOKUP(D238,Comp!$B$2:$M$23042,12,0),2))</f>
        <v>30.74</v>
      </c>
      <c r="O238" s="102">
        <f>ROUND(VLOOKUP(D238,Comp!$B$8:$M$23042,7,0),2)</f>
        <v>291.39999999999998</v>
      </c>
      <c r="P238" s="102">
        <f t="shared" si="373"/>
        <v>322.14</v>
      </c>
      <c r="Q238" s="102">
        <f t="shared" si="374"/>
        <v>0</v>
      </c>
      <c r="R238" s="102">
        <f t="shared" si="375"/>
        <v>0</v>
      </c>
      <c r="S238" s="102">
        <f t="shared" si="376"/>
        <v>0</v>
      </c>
      <c r="T238" s="410">
        <f t="shared" si="341"/>
        <v>0.25</v>
      </c>
      <c r="U238" s="408">
        <f t="shared" si="377"/>
        <v>0</v>
      </c>
      <c r="V238" s="171">
        <f>+S238/Resumo!$D$33</f>
        <v>0</v>
      </c>
      <c r="W238" s="104"/>
      <c r="X238" s="125">
        <v>1</v>
      </c>
      <c r="Y238" s="358">
        <f t="shared" si="372"/>
        <v>1</v>
      </c>
    </row>
    <row r="239" spans="1:25" s="28" customFormat="1" ht="30" x14ac:dyDescent="0.25">
      <c r="A239" s="524" t="s">
        <v>841</v>
      </c>
      <c r="B239" s="518" t="s">
        <v>115</v>
      </c>
      <c r="C239" s="518" t="str">
        <f t="shared" si="353"/>
        <v>2.14.30</v>
      </c>
      <c r="D239" s="520" t="s">
        <v>851</v>
      </c>
      <c r="E239" s="521" t="s">
        <v>46</v>
      </c>
      <c r="F239" s="399"/>
      <c r="G239" s="399"/>
      <c r="H239" s="588"/>
      <c r="I239" s="399">
        <v>0</v>
      </c>
      <c r="J239" s="399">
        <v>0</v>
      </c>
      <c r="K239" s="399">
        <v>0</v>
      </c>
      <c r="L239" s="588">
        <f t="shared" si="366"/>
        <v>0</v>
      </c>
      <c r="M239" s="530">
        <f t="shared" si="336"/>
        <v>0</v>
      </c>
      <c r="N239" s="102">
        <f>(ROUND(VLOOKUP(D239,Comp!$B$2:$M$23042,12,0),2))</f>
        <v>35.130000000000003</v>
      </c>
      <c r="O239" s="102">
        <f>ROUND(VLOOKUP(D239,Comp!$B$8:$M$23042,7,0),2)</f>
        <v>120</v>
      </c>
      <c r="P239" s="102">
        <f t="shared" si="373"/>
        <v>155.13</v>
      </c>
      <c r="Q239" s="102">
        <f t="shared" si="374"/>
        <v>0</v>
      </c>
      <c r="R239" s="102">
        <f t="shared" si="375"/>
        <v>0</v>
      </c>
      <c r="S239" s="102">
        <f t="shared" si="376"/>
        <v>0</v>
      </c>
      <c r="T239" s="410">
        <f t="shared" si="341"/>
        <v>0.25</v>
      </c>
      <c r="U239" s="408">
        <f t="shared" si="377"/>
        <v>0</v>
      </c>
      <c r="V239" s="171">
        <f>+S239/Resumo!$D$33</f>
        <v>0</v>
      </c>
      <c r="W239" s="104"/>
      <c r="X239" s="125">
        <v>1</v>
      </c>
      <c r="Y239" s="358">
        <f t="shared" si="372"/>
        <v>1</v>
      </c>
    </row>
    <row r="240" spans="1:25" s="28" customFormat="1" x14ac:dyDescent="0.25">
      <c r="A240" s="524" t="s">
        <v>842</v>
      </c>
      <c r="B240" s="518" t="s">
        <v>115</v>
      </c>
      <c r="C240" s="518" t="str">
        <f t="shared" si="353"/>
        <v>2.14.31</v>
      </c>
      <c r="D240" s="520" t="s">
        <v>858</v>
      </c>
      <c r="E240" s="521" t="s">
        <v>46</v>
      </c>
      <c r="F240" s="399"/>
      <c r="G240" s="399"/>
      <c r="H240" s="588"/>
      <c r="I240" s="399">
        <v>0</v>
      </c>
      <c r="J240" s="399">
        <v>0</v>
      </c>
      <c r="K240" s="399">
        <v>0</v>
      </c>
      <c r="L240" s="588">
        <f t="shared" si="366"/>
        <v>0</v>
      </c>
      <c r="M240" s="530">
        <f t="shared" si="336"/>
        <v>0</v>
      </c>
      <c r="N240" s="102">
        <f>(ROUND(VLOOKUP(D240,Comp!$B$2:$M$23042,12,0),2))</f>
        <v>30.74</v>
      </c>
      <c r="O240" s="102">
        <f>ROUND(VLOOKUP(D240,Comp!$B$8:$M$23042,7,0),2)</f>
        <v>132.9</v>
      </c>
      <c r="P240" s="102">
        <f t="shared" si="373"/>
        <v>163.63999999999999</v>
      </c>
      <c r="Q240" s="102">
        <f t="shared" si="374"/>
        <v>0</v>
      </c>
      <c r="R240" s="102">
        <f t="shared" si="375"/>
        <v>0</v>
      </c>
      <c r="S240" s="102">
        <f t="shared" si="376"/>
        <v>0</v>
      </c>
      <c r="T240" s="410">
        <f t="shared" si="341"/>
        <v>0.25</v>
      </c>
      <c r="U240" s="408">
        <f t="shared" si="377"/>
        <v>0</v>
      </c>
      <c r="V240" s="171">
        <f>+S240/Resumo!$D$33</f>
        <v>0</v>
      </c>
      <c r="W240" s="104"/>
      <c r="X240" s="125">
        <v>1</v>
      </c>
      <c r="Y240" s="358">
        <f t="shared" si="372"/>
        <v>1</v>
      </c>
    </row>
    <row r="241" spans="1:25" s="28" customFormat="1" ht="45" customHeight="1" x14ac:dyDescent="0.25">
      <c r="A241" s="524" t="s">
        <v>843</v>
      </c>
      <c r="B241" s="518" t="s">
        <v>115</v>
      </c>
      <c r="C241" s="518" t="str">
        <f t="shared" si="353"/>
        <v>2.14.32</v>
      </c>
      <c r="D241" s="520" t="s">
        <v>514</v>
      </c>
      <c r="E241" s="521" t="s">
        <v>46</v>
      </c>
      <c r="F241" s="399"/>
      <c r="G241" s="399"/>
      <c r="H241" s="588"/>
      <c r="I241" s="399">
        <v>0</v>
      </c>
      <c r="J241" s="399">
        <v>0</v>
      </c>
      <c r="K241" s="399">
        <v>0</v>
      </c>
      <c r="L241" s="588">
        <f t="shared" si="366"/>
        <v>0</v>
      </c>
      <c r="M241" s="530">
        <f t="shared" si="336"/>
        <v>0</v>
      </c>
      <c r="N241" s="102">
        <f>(ROUND(VLOOKUP(D241,Comp!$B$2:$M$23042,12,0),2))</f>
        <v>87.84</v>
      </c>
      <c r="O241" s="102">
        <f>ROUND(VLOOKUP(D241,Comp!$B$8:$M$23042,7,0),2)</f>
        <v>329.2</v>
      </c>
      <c r="P241" s="102">
        <f t="shared" si="373"/>
        <v>417.04</v>
      </c>
      <c r="Q241" s="102">
        <f t="shared" si="374"/>
        <v>0</v>
      </c>
      <c r="R241" s="102">
        <f t="shared" si="375"/>
        <v>0</v>
      </c>
      <c r="S241" s="102">
        <f t="shared" si="376"/>
        <v>0</v>
      </c>
      <c r="T241" s="410">
        <f t="shared" si="341"/>
        <v>0.25</v>
      </c>
      <c r="U241" s="408">
        <f t="shared" si="377"/>
        <v>0</v>
      </c>
      <c r="V241" s="171">
        <f>+S241/Resumo!$D$33</f>
        <v>0</v>
      </c>
      <c r="W241" s="104"/>
      <c r="X241" s="125">
        <v>3</v>
      </c>
      <c r="Y241" s="358">
        <f t="shared" si="372"/>
        <v>3</v>
      </c>
    </row>
    <row r="242" spans="1:25" s="28" customFormat="1" x14ac:dyDescent="0.25">
      <c r="A242" s="524" t="s">
        <v>844</v>
      </c>
      <c r="B242" s="518" t="s">
        <v>115</v>
      </c>
      <c r="C242" s="518" t="str">
        <f t="shared" si="353"/>
        <v>2.14.33</v>
      </c>
      <c r="D242" s="520" t="s">
        <v>515</v>
      </c>
      <c r="E242" s="521" t="s">
        <v>46</v>
      </c>
      <c r="F242" s="399"/>
      <c r="G242" s="399"/>
      <c r="H242" s="588"/>
      <c r="I242" s="399">
        <v>0</v>
      </c>
      <c r="J242" s="399">
        <v>0</v>
      </c>
      <c r="K242" s="399">
        <v>0</v>
      </c>
      <c r="L242" s="588">
        <f t="shared" si="366"/>
        <v>0</v>
      </c>
      <c r="M242" s="530">
        <f t="shared" si="336"/>
        <v>0</v>
      </c>
      <c r="N242" s="102">
        <f>(ROUND(VLOOKUP(D242,Comp!$B$2:$M$23042,12,0),2))</f>
        <v>32.94</v>
      </c>
      <c r="O242" s="102">
        <f>ROUND(VLOOKUP(D242,Comp!$B$8:$M$23042,7,0),2)</f>
        <v>68.88</v>
      </c>
      <c r="P242" s="102">
        <f t="shared" si="367"/>
        <v>101.82</v>
      </c>
      <c r="Q242" s="102">
        <f t="shared" si="368"/>
        <v>0</v>
      </c>
      <c r="R242" s="102">
        <f t="shared" si="369"/>
        <v>0</v>
      </c>
      <c r="S242" s="102">
        <f t="shared" si="370"/>
        <v>0</v>
      </c>
      <c r="T242" s="410">
        <f t="shared" si="341"/>
        <v>0.25</v>
      </c>
      <c r="U242" s="408">
        <f t="shared" si="371"/>
        <v>0</v>
      </c>
      <c r="V242" s="171">
        <f>+S242/Resumo!$D$33</f>
        <v>0</v>
      </c>
      <c r="W242" s="104"/>
      <c r="X242" s="125">
        <v>3</v>
      </c>
      <c r="Y242" s="358">
        <f t="shared" si="372"/>
        <v>3</v>
      </c>
    </row>
    <row r="243" spans="1:25" s="28" customFormat="1" ht="30" x14ac:dyDescent="0.25">
      <c r="A243" s="524" t="s">
        <v>845</v>
      </c>
      <c r="B243" s="518" t="s">
        <v>115</v>
      </c>
      <c r="C243" s="518" t="str">
        <f t="shared" si="353"/>
        <v>2.14.34</v>
      </c>
      <c r="D243" s="520" t="s">
        <v>516</v>
      </c>
      <c r="E243" s="521" t="s">
        <v>46</v>
      </c>
      <c r="F243" s="399"/>
      <c r="G243" s="399"/>
      <c r="H243" s="588"/>
      <c r="I243" s="399">
        <v>0</v>
      </c>
      <c r="J243" s="399">
        <v>0</v>
      </c>
      <c r="K243" s="399">
        <v>0</v>
      </c>
      <c r="L243" s="588">
        <v>0.5</v>
      </c>
      <c r="M243" s="530">
        <f t="shared" si="336"/>
        <v>0.5</v>
      </c>
      <c r="N243" s="102">
        <f>(ROUND(VLOOKUP(D243,Comp!$B$2:$M$23042,12,0),2))</f>
        <v>878.4</v>
      </c>
      <c r="O243" s="102">
        <f>ROUND(VLOOKUP(D243,Comp!$B$8:$M$23042,7,0),2)</f>
        <v>0</v>
      </c>
      <c r="P243" s="102">
        <f t="shared" si="367"/>
        <v>878.4</v>
      </c>
      <c r="Q243" s="102">
        <f t="shared" si="368"/>
        <v>439.2</v>
      </c>
      <c r="R243" s="102">
        <f t="shared" si="369"/>
        <v>0</v>
      </c>
      <c r="S243" s="102">
        <f t="shared" si="370"/>
        <v>439.2</v>
      </c>
      <c r="T243" s="410">
        <f t="shared" si="341"/>
        <v>0.25</v>
      </c>
      <c r="U243" s="408">
        <f t="shared" si="371"/>
        <v>549</v>
      </c>
      <c r="V243" s="171">
        <f>+S243/Resumo!$D$33</f>
        <v>1.0545527686608238E-3</v>
      </c>
      <c r="W243" s="104"/>
      <c r="X243" s="125">
        <v>1</v>
      </c>
      <c r="Y243" s="358">
        <f t="shared" si="372"/>
        <v>0.5</v>
      </c>
    </row>
    <row r="244" spans="1:25" s="28" customFormat="1" x14ac:dyDescent="0.25">
      <c r="A244" s="524" t="s">
        <v>846</v>
      </c>
      <c r="B244" s="518" t="s">
        <v>115</v>
      </c>
      <c r="C244" s="518" t="str">
        <f t="shared" si="353"/>
        <v>2.14.35</v>
      </c>
      <c r="D244" s="520" t="s">
        <v>487</v>
      </c>
      <c r="E244" s="521" t="s">
        <v>46</v>
      </c>
      <c r="F244" s="399"/>
      <c r="G244" s="399"/>
      <c r="H244" s="588"/>
      <c r="I244" s="399">
        <v>0</v>
      </c>
      <c r="J244" s="399">
        <v>0</v>
      </c>
      <c r="K244" s="399">
        <v>0</v>
      </c>
      <c r="L244" s="588">
        <v>0.5</v>
      </c>
      <c r="M244" s="530">
        <f t="shared" si="336"/>
        <v>0.5</v>
      </c>
      <c r="N244" s="102">
        <f>(ROUND(VLOOKUP(D244,Comp!$B$2:$M$23042,12,0),2))</f>
        <v>268.43</v>
      </c>
      <c r="O244" s="102">
        <f>ROUND(VLOOKUP(D244,Comp!$B$8:$M$23042,7,0),2)</f>
        <v>0</v>
      </c>
      <c r="P244" s="102">
        <f t="shared" si="367"/>
        <v>268.43</v>
      </c>
      <c r="Q244" s="102">
        <f t="shared" si="368"/>
        <v>134.22</v>
      </c>
      <c r="R244" s="102">
        <f t="shared" si="369"/>
        <v>0</v>
      </c>
      <c r="S244" s="102">
        <f t="shared" si="370"/>
        <v>134.22</v>
      </c>
      <c r="T244" s="410">
        <f t="shared" si="341"/>
        <v>0.25</v>
      </c>
      <c r="U244" s="408">
        <f t="shared" si="371"/>
        <v>167.78</v>
      </c>
      <c r="V244" s="171">
        <f>+S244/Resumo!$D$33</f>
        <v>3.2227247861943485E-4</v>
      </c>
      <c r="W244" s="104"/>
      <c r="X244" s="125">
        <v>1</v>
      </c>
      <c r="Y244" s="358">
        <f t="shared" si="372"/>
        <v>0.5</v>
      </c>
    </row>
    <row r="245" spans="1:25" s="34" customFormat="1" ht="15.75" x14ac:dyDescent="0.25">
      <c r="A245" s="339" t="s">
        <v>519</v>
      </c>
      <c r="B245" s="393"/>
      <c r="C245" s="393"/>
      <c r="D245" s="63" t="s">
        <v>109</v>
      </c>
      <c r="E245" s="132"/>
      <c r="F245" s="132"/>
      <c r="G245" s="132"/>
      <c r="H245" s="132"/>
      <c r="I245" s="132"/>
      <c r="J245" s="132"/>
      <c r="K245" s="132"/>
      <c r="L245" s="132"/>
      <c r="M245" s="45"/>
      <c r="N245" s="45"/>
      <c r="O245" s="45"/>
      <c r="P245" s="45"/>
      <c r="Q245" s="45">
        <f>SUM(Q246:Q252)</f>
        <v>53.97</v>
      </c>
      <c r="R245" s="45">
        <f>SUM(R246:R252)</f>
        <v>2070.15</v>
      </c>
      <c r="S245" s="45">
        <f>SUM(S246:S252)</f>
        <v>2124.12</v>
      </c>
      <c r="T245" s="45"/>
      <c r="U245" s="45">
        <f>SUM(U246:U252)</f>
        <v>2655.15</v>
      </c>
      <c r="V245" s="172">
        <f>+S245/Resumo!$D$33</f>
        <v>5.1001744694167328E-3</v>
      </c>
      <c r="W245" s="104" t="s">
        <v>86</v>
      </c>
      <c r="X245" s="131"/>
      <c r="Y245" s="358"/>
    </row>
    <row r="246" spans="1:25" s="72" customFormat="1" x14ac:dyDescent="0.25">
      <c r="A246" s="524" t="s">
        <v>520</v>
      </c>
      <c r="B246" s="519" t="s">
        <v>115</v>
      </c>
      <c r="C246" s="519" t="str">
        <f t="shared" ref="C246" si="378">A246</f>
        <v>2.15.1</v>
      </c>
      <c r="D246" s="520" t="s">
        <v>748</v>
      </c>
      <c r="E246" s="525" t="s">
        <v>46</v>
      </c>
      <c r="F246" s="399"/>
      <c r="G246" s="399"/>
      <c r="H246" s="588"/>
      <c r="I246" s="399">
        <v>2</v>
      </c>
      <c r="J246" s="399">
        <v>0</v>
      </c>
      <c r="K246" s="399">
        <v>1</v>
      </c>
      <c r="L246" s="588">
        <f t="shared" ref="L246:L252" si="379">SUM(I246:K246)</f>
        <v>3</v>
      </c>
      <c r="M246" s="530">
        <f t="shared" ref="M246:M252" si="380">H246+L246</f>
        <v>3</v>
      </c>
      <c r="N246" s="102">
        <f>(ROUND(VLOOKUP(D246,Comp!$B$2:$M$23042,12,0),2))</f>
        <v>17.989999999999998</v>
      </c>
      <c r="O246" s="102">
        <f>ROUND(VLOOKUP(D246,Comp!$B$8:$M$23042,7,0),2)</f>
        <v>690.05</v>
      </c>
      <c r="P246" s="102">
        <f t="shared" ref="P246:P252" si="381">+ROUND(N246+O246,2)</f>
        <v>708.04</v>
      </c>
      <c r="Q246" s="102">
        <f t="shared" ref="Q246:Q252" si="382">ROUND(N246*M246,2)</f>
        <v>53.97</v>
      </c>
      <c r="R246" s="102">
        <f t="shared" ref="R246:R252" si="383">ROUND(O246*M246,2)</f>
        <v>2070.15</v>
      </c>
      <c r="S246" s="102">
        <f t="shared" ref="S246:S252" si="384">ROUND(P246*M246,2)</f>
        <v>2124.12</v>
      </c>
      <c r="T246" s="410">
        <f t="shared" ref="T246:T252" si="385">$M$6</f>
        <v>0.25</v>
      </c>
      <c r="U246" s="408">
        <f t="shared" ref="U246:U252" si="386">ROUND(S246*(1+T246),2)</f>
        <v>2655.15</v>
      </c>
      <c r="V246" s="171">
        <f>+S246/Resumo!$D$33</f>
        <v>5.1001744694167328E-3</v>
      </c>
      <c r="W246" s="104"/>
      <c r="X246" s="120"/>
      <c r="Y246" s="358"/>
    </row>
    <row r="247" spans="1:25" s="72" customFormat="1" ht="31.5" customHeight="1" x14ac:dyDescent="0.25">
      <c r="A247" s="524" t="s">
        <v>521</v>
      </c>
      <c r="B247" s="519" t="s">
        <v>115</v>
      </c>
      <c r="C247" s="519" t="str">
        <f>A247</f>
        <v>2.15.2</v>
      </c>
      <c r="D247" s="520" t="s">
        <v>926</v>
      </c>
      <c r="E247" s="525" t="s">
        <v>46</v>
      </c>
      <c r="F247" s="399"/>
      <c r="G247" s="399"/>
      <c r="H247" s="588"/>
      <c r="I247" s="399">
        <v>0</v>
      </c>
      <c r="J247" s="399">
        <v>0</v>
      </c>
      <c r="K247" s="399">
        <v>0</v>
      </c>
      <c r="L247" s="588">
        <f t="shared" si="379"/>
        <v>0</v>
      </c>
      <c r="M247" s="530">
        <f t="shared" si="380"/>
        <v>0</v>
      </c>
      <c r="N247" s="102">
        <f>(ROUND(VLOOKUP(D247,Comp!$B$2:$M$23042,12,0),2))</f>
        <v>17.989999999999998</v>
      </c>
      <c r="O247" s="102">
        <f>ROUND(VLOOKUP(D247,Comp!$B$8:$M$23042,7,0),2)</f>
        <v>949.35</v>
      </c>
      <c r="P247" s="102">
        <f t="shared" ref="P247" si="387">+ROUND(N247+O247,2)</f>
        <v>967.34</v>
      </c>
      <c r="Q247" s="102">
        <f t="shared" ref="Q247" si="388">ROUND(N247*M247,2)</f>
        <v>0</v>
      </c>
      <c r="R247" s="102">
        <f t="shared" ref="R247" si="389">ROUND(O247*M247,2)</f>
        <v>0</v>
      </c>
      <c r="S247" s="102">
        <f t="shared" ref="S247" si="390">ROUND(P247*M247,2)</f>
        <v>0</v>
      </c>
      <c r="T247" s="410">
        <f t="shared" si="385"/>
        <v>0.25</v>
      </c>
      <c r="U247" s="408">
        <f t="shared" ref="U247" si="391">ROUND(S247*(1+T247),2)</f>
        <v>0</v>
      </c>
      <c r="V247" s="171">
        <f>+S247/Resumo!$D$33</f>
        <v>0</v>
      </c>
      <c r="W247" s="104"/>
      <c r="X247" s="120"/>
      <c r="Y247" s="358"/>
    </row>
    <row r="248" spans="1:25" s="72" customFormat="1" ht="30" x14ac:dyDescent="0.25">
      <c r="A248" s="524" t="s">
        <v>522</v>
      </c>
      <c r="B248" s="519" t="s">
        <v>115</v>
      </c>
      <c r="C248" s="519" t="str">
        <f t="shared" ref="C248:C250" si="392">A248</f>
        <v>2.15.3</v>
      </c>
      <c r="D248" s="520" t="s">
        <v>927</v>
      </c>
      <c r="E248" s="525" t="s">
        <v>46</v>
      </c>
      <c r="F248" s="399"/>
      <c r="G248" s="399"/>
      <c r="H248" s="588"/>
      <c r="I248" s="399">
        <v>0</v>
      </c>
      <c r="J248" s="399">
        <v>0</v>
      </c>
      <c r="K248" s="399">
        <v>0</v>
      </c>
      <c r="L248" s="588">
        <f t="shared" si="379"/>
        <v>0</v>
      </c>
      <c r="M248" s="530">
        <f t="shared" si="380"/>
        <v>0</v>
      </c>
      <c r="N248" s="102">
        <f>(ROUND(VLOOKUP(D248,Comp!$B$2:$M$23042,12,0),2))</f>
        <v>17.989999999999998</v>
      </c>
      <c r="O248" s="102">
        <f>ROUND(VLOOKUP(D248,Comp!$B$8:$M$23042,7,0),2)</f>
        <v>991.35</v>
      </c>
      <c r="P248" s="102">
        <f t="shared" ref="P248" si="393">+ROUND(N248+O248,2)</f>
        <v>1009.34</v>
      </c>
      <c r="Q248" s="102">
        <f t="shared" ref="Q248" si="394">ROUND(N248*M248,2)</f>
        <v>0</v>
      </c>
      <c r="R248" s="102">
        <f t="shared" ref="R248" si="395">ROUND(O248*M248,2)</f>
        <v>0</v>
      </c>
      <c r="S248" s="102">
        <f t="shared" ref="S248" si="396">ROUND(P248*M248,2)</f>
        <v>0</v>
      </c>
      <c r="T248" s="410">
        <f t="shared" si="385"/>
        <v>0.25</v>
      </c>
      <c r="U248" s="408">
        <f t="shared" ref="U248" si="397">ROUND(S248*(1+T248),2)</f>
        <v>0</v>
      </c>
      <c r="V248" s="171">
        <f>+S248/Resumo!$D$33</f>
        <v>0</v>
      </c>
      <c r="W248" s="104"/>
      <c r="X248" s="120"/>
      <c r="Y248" s="358"/>
    </row>
    <row r="249" spans="1:25" s="72" customFormat="1" x14ac:dyDescent="0.25">
      <c r="A249" s="524" t="s">
        <v>523</v>
      </c>
      <c r="B249" s="519" t="s">
        <v>115</v>
      </c>
      <c r="C249" s="519" t="str">
        <f t="shared" si="392"/>
        <v>2.15.4</v>
      </c>
      <c r="D249" s="520" t="s">
        <v>749</v>
      </c>
      <c r="E249" s="525" t="s">
        <v>46</v>
      </c>
      <c r="F249" s="399"/>
      <c r="G249" s="399"/>
      <c r="H249" s="588"/>
      <c r="I249" s="399">
        <v>0</v>
      </c>
      <c r="J249" s="399">
        <v>0</v>
      </c>
      <c r="K249" s="399">
        <v>0</v>
      </c>
      <c r="L249" s="588">
        <f t="shared" si="379"/>
        <v>0</v>
      </c>
      <c r="M249" s="530">
        <f t="shared" si="380"/>
        <v>0</v>
      </c>
      <c r="N249" s="102">
        <f>(ROUND(VLOOKUP(D249,Comp!$B$2:$M$23042,12,0),2))</f>
        <v>46.17</v>
      </c>
      <c r="O249" s="102">
        <f>ROUND(VLOOKUP(D249,Comp!$B$8:$M$23042,7,0),2)</f>
        <v>744.76</v>
      </c>
      <c r="P249" s="102">
        <f t="shared" si="381"/>
        <v>790.93</v>
      </c>
      <c r="Q249" s="102">
        <f t="shared" si="382"/>
        <v>0</v>
      </c>
      <c r="R249" s="102">
        <f t="shared" si="383"/>
        <v>0</v>
      </c>
      <c r="S249" s="102">
        <f t="shared" si="384"/>
        <v>0</v>
      </c>
      <c r="T249" s="410">
        <f t="shared" si="385"/>
        <v>0.25</v>
      </c>
      <c r="U249" s="408">
        <f t="shared" si="386"/>
        <v>0</v>
      </c>
      <c r="V249" s="171">
        <f>+S249/Resumo!$D$33</f>
        <v>0</v>
      </c>
      <c r="W249" s="104"/>
      <c r="X249" s="120"/>
      <c r="Y249" s="358"/>
    </row>
    <row r="250" spans="1:25" s="72" customFormat="1" x14ac:dyDescent="0.25">
      <c r="A250" s="524" t="s">
        <v>524</v>
      </c>
      <c r="B250" s="519" t="s">
        <v>115</v>
      </c>
      <c r="C250" s="519" t="str">
        <f t="shared" si="392"/>
        <v>2.15.5</v>
      </c>
      <c r="D250" s="520" t="s">
        <v>925</v>
      </c>
      <c r="E250" s="525" t="s">
        <v>46</v>
      </c>
      <c r="F250" s="399"/>
      <c r="G250" s="399"/>
      <c r="H250" s="588"/>
      <c r="I250" s="399">
        <v>0</v>
      </c>
      <c r="J250" s="399">
        <v>0</v>
      </c>
      <c r="K250" s="399">
        <v>0</v>
      </c>
      <c r="L250" s="588">
        <f t="shared" si="379"/>
        <v>0</v>
      </c>
      <c r="M250" s="530">
        <f t="shared" si="380"/>
        <v>0</v>
      </c>
      <c r="N250" s="102">
        <f>(ROUND(VLOOKUP(D250,Comp!$B$2:$M$23042,12,0),2))</f>
        <v>71.94</v>
      </c>
      <c r="O250" s="102">
        <f>ROUND(VLOOKUP(D250,Comp!$B$8:$M$23042,7,0),2)</f>
        <v>2532.6999999999998</v>
      </c>
      <c r="P250" s="102">
        <f t="shared" ref="P250" si="398">+ROUND(N250+O250,2)</f>
        <v>2604.64</v>
      </c>
      <c r="Q250" s="102">
        <f t="shared" ref="Q250" si="399">ROUND(N250*M250,2)</f>
        <v>0</v>
      </c>
      <c r="R250" s="102">
        <f t="shared" ref="R250" si="400">ROUND(O250*M250,2)</f>
        <v>0</v>
      </c>
      <c r="S250" s="102">
        <f t="shared" ref="S250" si="401">ROUND(P250*M250,2)</f>
        <v>0</v>
      </c>
      <c r="T250" s="410">
        <f t="shared" si="385"/>
        <v>0.25</v>
      </c>
      <c r="U250" s="408">
        <f t="shared" ref="U250" si="402">ROUND(S250*(1+T250),2)</f>
        <v>0</v>
      </c>
      <c r="V250" s="171">
        <f>+S250/Resumo!$D$33</f>
        <v>0</v>
      </c>
      <c r="W250" s="104"/>
      <c r="X250" s="120"/>
      <c r="Y250" s="358"/>
    </row>
    <row r="251" spans="1:25" s="72" customFormat="1" x14ac:dyDescent="0.25">
      <c r="A251" s="524" t="s">
        <v>525</v>
      </c>
      <c r="B251" s="518">
        <v>0</v>
      </c>
      <c r="C251" s="518">
        <v>0</v>
      </c>
      <c r="D251" s="520" t="s">
        <v>922</v>
      </c>
      <c r="E251" s="521">
        <v>0</v>
      </c>
      <c r="F251" s="399"/>
      <c r="G251" s="399"/>
      <c r="H251" s="588"/>
      <c r="I251" s="399">
        <v>0</v>
      </c>
      <c r="J251" s="399">
        <v>0</v>
      </c>
      <c r="K251" s="399">
        <v>0</v>
      </c>
      <c r="L251" s="588">
        <f t="shared" si="379"/>
        <v>0</v>
      </c>
      <c r="M251" s="530">
        <f t="shared" si="380"/>
        <v>0</v>
      </c>
      <c r="N251" s="102">
        <v>0</v>
      </c>
      <c r="O251" s="102">
        <v>0</v>
      </c>
      <c r="P251" s="102">
        <f t="shared" si="381"/>
        <v>0</v>
      </c>
      <c r="Q251" s="102">
        <f t="shared" si="382"/>
        <v>0</v>
      </c>
      <c r="R251" s="102">
        <f t="shared" si="383"/>
        <v>0</v>
      </c>
      <c r="S251" s="102">
        <f t="shared" si="384"/>
        <v>0</v>
      </c>
      <c r="T251" s="410">
        <f t="shared" si="385"/>
        <v>0.25</v>
      </c>
      <c r="U251" s="408">
        <f t="shared" si="386"/>
        <v>0</v>
      </c>
      <c r="V251" s="171">
        <f>+S251/Resumo!$D$33</f>
        <v>0</v>
      </c>
      <c r="W251" s="104"/>
      <c r="X251" s="120"/>
      <c r="Y251" s="358"/>
    </row>
    <row r="252" spans="1:25" s="72" customFormat="1" x14ac:dyDescent="0.25">
      <c r="A252" s="524" t="s">
        <v>526</v>
      </c>
      <c r="B252" s="518">
        <v>0</v>
      </c>
      <c r="C252" s="518">
        <v>0</v>
      </c>
      <c r="D252" s="520" t="s">
        <v>923</v>
      </c>
      <c r="E252" s="521">
        <v>0</v>
      </c>
      <c r="F252" s="399"/>
      <c r="G252" s="399"/>
      <c r="H252" s="588"/>
      <c r="I252" s="399">
        <v>0</v>
      </c>
      <c r="J252" s="399">
        <v>0</v>
      </c>
      <c r="K252" s="399">
        <v>0</v>
      </c>
      <c r="L252" s="588">
        <f t="shared" si="379"/>
        <v>0</v>
      </c>
      <c r="M252" s="530">
        <f t="shared" si="380"/>
        <v>0</v>
      </c>
      <c r="N252" s="102">
        <v>0</v>
      </c>
      <c r="O252" s="102">
        <v>0</v>
      </c>
      <c r="P252" s="102">
        <f t="shared" si="381"/>
        <v>0</v>
      </c>
      <c r="Q252" s="102">
        <f t="shared" si="382"/>
        <v>0</v>
      </c>
      <c r="R252" s="102">
        <f t="shared" si="383"/>
        <v>0</v>
      </c>
      <c r="S252" s="102">
        <f t="shared" si="384"/>
        <v>0</v>
      </c>
      <c r="T252" s="410">
        <f t="shared" si="385"/>
        <v>0.25</v>
      </c>
      <c r="U252" s="408">
        <f t="shared" si="386"/>
        <v>0</v>
      </c>
      <c r="V252" s="171">
        <f>+S252/Resumo!$D$33</f>
        <v>0</v>
      </c>
      <c r="W252" s="104"/>
      <c r="X252" s="120"/>
      <c r="Y252" s="358"/>
    </row>
    <row r="253" spans="1:25" s="72" customFormat="1" ht="15.75" x14ac:dyDescent="0.25">
      <c r="A253" s="339" t="s">
        <v>527</v>
      </c>
      <c r="B253" s="393"/>
      <c r="C253" s="393"/>
      <c r="D253" s="63" t="s">
        <v>96</v>
      </c>
      <c r="E253" s="132"/>
      <c r="F253" s="404"/>
      <c r="G253" s="404"/>
      <c r="H253" s="404"/>
      <c r="I253" s="404"/>
      <c r="J253" s="404"/>
      <c r="K253" s="404"/>
      <c r="L253" s="404"/>
      <c r="M253" s="45"/>
      <c r="N253" s="45"/>
      <c r="O253" s="45"/>
      <c r="P253" s="45"/>
      <c r="Q253" s="45">
        <f>SUM(Q254:Q260)</f>
        <v>3068.74</v>
      </c>
      <c r="R253" s="45">
        <f>SUM(R254:R260)</f>
        <v>432.73</v>
      </c>
      <c r="S253" s="45">
        <f>SUM(S254:S260)</f>
        <v>3501.4700000000003</v>
      </c>
      <c r="T253" s="45"/>
      <c r="U253" s="45">
        <f>SUM(U254:U260)</f>
        <v>4376.84</v>
      </c>
      <c r="V253" s="172">
        <f>+S253/Resumo!$D$33</f>
        <v>8.4072970921739883E-3</v>
      </c>
      <c r="W253" s="104" t="s">
        <v>86</v>
      </c>
      <c r="X253" s="120"/>
      <c r="Y253" s="358"/>
    </row>
    <row r="254" spans="1:25" s="72" customFormat="1" x14ac:dyDescent="0.25">
      <c r="A254" s="524" t="s">
        <v>528</v>
      </c>
      <c r="B254" s="518">
        <v>0</v>
      </c>
      <c r="C254" s="518">
        <v>0</v>
      </c>
      <c r="D254" s="520" t="s">
        <v>125</v>
      </c>
      <c r="E254" s="521">
        <v>0</v>
      </c>
      <c r="F254" s="399"/>
      <c r="G254" s="399"/>
      <c r="H254" s="588"/>
      <c r="I254" s="399">
        <v>0</v>
      </c>
      <c r="J254" s="399">
        <v>0</v>
      </c>
      <c r="K254" s="399">
        <v>0</v>
      </c>
      <c r="L254" s="588">
        <f t="shared" ref="L254:L260" si="403">SUM(I254:K254)</f>
        <v>0</v>
      </c>
      <c r="M254" s="530">
        <f>H254+L254</f>
        <v>0</v>
      </c>
      <c r="N254" s="102">
        <v>0</v>
      </c>
      <c r="O254" s="102">
        <v>0</v>
      </c>
      <c r="P254" s="102">
        <f t="shared" ref="P254:P260" si="404">+ROUND(N254+O254,2)</f>
        <v>0</v>
      </c>
      <c r="Q254" s="102">
        <f t="shared" ref="Q254:Q260" si="405">ROUND(N254*M254,2)</f>
        <v>0</v>
      </c>
      <c r="R254" s="102">
        <f t="shared" ref="R254:R260" si="406">ROUND(O254*M254,2)</f>
        <v>0</v>
      </c>
      <c r="S254" s="102">
        <f t="shared" ref="S254:S260" si="407">ROUND(P254*M254,2)</f>
        <v>0</v>
      </c>
      <c r="T254" s="410">
        <f t="shared" ref="T254:T260" si="408">$M$6</f>
        <v>0.25</v>
      </c>
      <c r="U254" s="408">
        <f t="shared" ref="U254:U260" si="409">ROUND(S254*(1+T254),2)</f>
        <v>0</v>
      </c>
      <c r="V254" s="171">
        <f>+S254/Resumo!$D$33</f>
        <v>0</v>
      </c>
      <c r="W254" s="104"/>
      <c r="X254" s="120"/>
      <c r="Y254" s="358"/>
    </row>
    <row r="255" spans="1:25" s="72" customFormat="1" x14ac:dyDescent="0.25">
      <c r="A255" s="524" t="s">
        <v>529</v>
      </c>
      <c r="B255" s="518">
        <v>0</v>
      </c>
      <c r="C255" s="518">
        <v>0</v>
      </c>
      <c r="D255" s="520" t="s">
        <v>949</v>
      </c>
      <c r="E255" s="521">
        <v>0</v>
      </c>
      <c r="F255" s="399"/>
      <c r="G255" s="399"/>
      <c r="H255" s="588"/>
      <c r="I255" s="399">
        <v>0</v>
      </c>
      <c r="J255" s="399">
        <v>0</v>
      </c>
      <c r="K255" s="399">
        <v>0</v>
      </c>
      <c r="L255" s="588">
        <f t="shared" si="403"/>
        <v>0</v>
      </c>
      <c r="M255" s="530">
        <f>H255+L255</f>
        <v>0</v>
      </c>
      <c r="N255" s="102">
        <v>0</v>
      </c>
      <c r="O255" s="102">
        <v>0</v>
      </c>
      <c r="P255" s="102">
        <f t="shared" ref="P255:P258" si="410">+ROUND(N255+O255,2)</f>
        <v>0</v>
      </c>
      <c r="Q255" s="102">
        <f t="shared" ref="Q255:Q258" si="411">ROUND(N255*M255,2)</f>
        <v>0</v>
      </c>
      <c r="R255" s="102">
        <f t="shared" ref="R255:R258" si="412">ROUND(O255*M255,2)</f>
        <v>0</v>
      </c>
      <c r="S255" s="102">
        <f t="shared" ref="S255:S258" si="413">ROUND(P255*M255,2)</f>
        <v>0</v>
      </c>
      <c r="T255" s="410">
        <f t="shared" si="408"/>
        <v>0.25</v>
      </c>
      <c r="U255" s="408">
        <f t="shared" ref="U255:U258" si="414">ROUND(S255*(1+T255),2)</f>
        <v>0</v>
      </c>
      <c r="V255" s="171">
        <f>+S255/Resumo!$D$33</f>
        <v>0</v>
      </c>
      <c r="W255" s="104"/>
      <c r="X255" s="120"/>
      <c r="Y255" s="358"/>
    </row>
    <row r="256" spans="1:25" s="72" customFormat="1" x14ac:dyDescent="0.25">
      <c r="A256" s="524" t="s">
        <v>530</v>
      </c>
      <c r="B256" s="518">
        <v>0</v>
      </c>
      <c r="C256" s="518">
        <v>0</v>
      </c>
      <c r="D256" s="520" t="s">
        <v>950</v>
      </c>
      <c r="E256" s="521">
        <v>0</v>
      </c>
      <c r="F256" s="399"/>
      <c r="G256" s="399"/>
      <c r="H256" s="588"/>
      <c r="I256" s="399">
        <v>0</v>
      </c>
      <c r="J256" s="399">
        <v>0</v>
      </c>
      <c r="K256" s="399">
        <v>0</v>
      </c>
      <c r="L256" s="588">
        <f t="shared" si="403"/>
        <v>0</v>
      </c>
      <c r="M256" s="530">
        <f>H256+L256</f>
        <v>0</v>
      </c>
      <c r="N256" s="102">
        <v>0</v>
      </c>
      <c r="O256" s="102">
        <v>0</v>
      </c>
      <c r="P256" s="102">
        <f t="shared" si="410"/>
        <v>0</v>
      </c>
      <c r="Q256" s="102">
        <f t="shared" si="411"/>
        <v>0</v>
      </c>
      <c r="R256" s="102">
        <f t="shared" si="412"/>
        <v>0</v>
      </c>
      <c r="S256" s="102">
        <f t="shared" si="413"/>
        <v>0</v>
      </c>
      <c r="T256" s="410">
        <f t="shared" si="408"/>
        <v>0.25</v>
      </c>
      <c r="U256" s="408">
        <f t="shared" si="414"/>
        <v>0</v>
      </c>
      <c r="V256" s="171">
        <f>+S256/Resumo!$D$33</f>
        <v>0</v>
      </c>
      <c r="W256" s="104"/>
      <c r="X256" s="120"/>
      <c r="Y256" s="358"/>
    </row>
    <row r="257" spans="1:25" s="72" customFormat="1" x14ac:dyDescent="0.25">
      <c r="A257" s="524" t="s">
        <v>531</v>
      </c>
      <c r="B257" s="518">
        <v>0</v>
      </c>
      <c r="C257" s="518">
        <v>0</v>
      </c>
      <c r="D257" s="520" t="s">
        <v>127</v>
      </c>
      <c r="E257" s="521">
        <v>0</v>
      </c>
      <c r="F257" s="399"/>
      <c r="G257" s="399"/>
      <c r="H257" s="588"/>
      <c r="I257" s="399">
        <v>0</v>
      </c>
      <c r="J257" s="399">
        <v>0</v>
      </c>
      <c r="K257" s="399">
        <v>0</v>
      </c>
      <c r="L257" s="588">
        <f t="shared" si="403"/>
        <v>0</v>
      </c>
      <c r="M257" s="530">
        <f>H257+L257</f>
        <v>0</v>
      </c>
      <c r="N257" s="102">
        <v>0</v>
      </c>
      <c r="O257" s="102">
        <v>0</v>
      </c>
      <c r="P257" s="102">
        <f t="shared" si="410"/>
        <v>0</v>
      </c>
      <c r="Q257" s="102">
        <f t="shared" si="411"/>
        <v>0</v>
      </c>
      <c r="R257" s="102">
        <f t="shared" si="412"/>
        <v>0</v>
      </c>
      <c r="S257" s="102">
        <f t="shared" si="413"/>
        <v>0</v>
      </c>
      <c r="T257" s="410">
        <f t="shared" si="408"/>
        <v>0.25</v>
      </c>
      <c r="U257" s="408">
        <f t="shared" si="414"/>
        <v>0</v>
      </c>
      <c r="V257" s="171">
        <f>+S257/Resumo!$D$33</f>
        <v>0</v>
      </c>
      <c r="W257" s="104"/>
      <c r="X257" s="120"/>
      <c r="Y257" s="358"/>
    </row>
    <row r="258" spans="1:25" s="72" customFormat="1" x14ac:dyDescent="0.25">
      <c r="A258" s="524" t="s">
        <v>532</v>
      </c>
      <c r="B258" s="518">
        <v>0</v>
      </c>
      <c r="C258" s="518">
        <v>0</v>
      </c>
      <c r="D258" s="520" t="s">
        <v>126</v>
      </c>
      <c r="E258" s="521">
        <v>0</v>
      </c>
      <c r="F258" s="399"/>
      <c r="G258" s="399"/>
      <c r="H258" s="588"/>
      <c r="I258" s="399">
        <v>0</v>
      </c>
      <c r="J258" s="399">
        <v>0</v>
      </c>
      <c r="K258" s="399">
        <v>0</v>
      </c>
      <c r="L258" s="588">
        <f t="shared" si="403"/>
        <v>0</v>
      </c>
      <c r="M258" s="530">
        <f>H258+L258</f>
        <v>0</v>
      </c>
      <c r="N258" s="102">
        <v>0</v>
      </c>
      <c r="O258" s="102">
        <v>0</v>
      </c>
      <c r="P258" s="102">
        <f t="shared" si="410"/>
        <v>0</v>
      </c>
      <c r="Q258" s="102">
        <f t="shared" si="411"/>
        <v>0</v>
      </c>
      <c r="R258" s="102">
        <f t="shared" si="412"/>
        <v>0</v>
      </c>
      <c r="S258" s="102">
        <f t="shared" si="413"/>
        <v>0</v>
      </c>
      <c r="T258" s="410">
        <f t="shared" si="408"/>
        <v>0.25</v>
      </c>
      <c r="U258" s="408">
        <f t="shared" si="414"/>
        <v>0</v>
      </c>
      <c r="V258" s="171">
        <f>+S258/Resumo!$D$33</f>
        <v>0</v>
      </c>
      <c r="W258" s="104"/>
      <c r="X258" s="120"/>
      <c r="Y258" s="358"/>
    </row>
    <row r="259" spans="1:25" s="72" customFormat="1" ht="30" x14ac:dyDescent="0.25">
      <c r="A259" s="524" t="s">
        <v>928</v>
      </c>
      <c r="B259" s="526" t="s">
        <v>115</v>
      </c>
      <c r="C259" s="526" t="str">
        <f>A259</f>
        <v>2.16.6</v>
      </c>
      <c r="D259" s="553" t="s">
        <v>518</v>
      </c>
      <c r="E259" s="527" t="s">
        <v>46</v>
      </c>
      <c r="F259" s="508"/>
      <c r="G259" s="508"/>
      <c r="H259" s="588"/>
      <c r="I259" s="508">
        <v>0</v>
      </c>
      <c r="J259" s="508">
        <v>0</v>
      </c>
      <c r="K259" s="508">
        <v>0</v>
      </c>
      <c r="L259" s="588">
        <f t="shared" si="403"/>
        <v>0</v>
      </c>
      <c r="M259" s="555">
        <v>1</v>
      </c>
      <c r="N259" s="556">
        <f>(ROUND(VLOOKUP(D259,Comp!$B$2:$M$23042,12,0),2))</f>
        <v>1711</v>
      </c>
      <c r="O259" s="556">
        <f>ROUND(VLOOKUP(D259,Comp!$B$8:$M$23042,7,0),2)</f>
        <v>0</v>
      </c>
      <c r="P259" s="102">
        <f t="shared" ref="P259" si="415">+ROUND(N259+O259,2)</f>
        <v>1711</v>
      </c>
      <c r="Q259" s="102">
        <f t="shared" ref="Q259" si="416">ROUND(N259*M259,2)</f>
        <v>1711</v>
      </c>
      <c r="R259" s="102">
        <f t="shared" ref="R259" si="417">ROUND(O259*M259,2)</f>
        <v>0</v>
      </c>
      <c r="S259" s="102">
        <f t="shared" ref="S259" si="418">ROUND(P259*M259,2)</f>
        <v>1711</v>
      </c>
      <c r="T259" s="410">
        <f t="shared" si="408"/>
        <v>0.25</v>
      </c>
      <c r="U259" s="408">
        <f t="shared" ref="U259" si="419">ROUND(S259*(1+T259),2)</f>
        <v>2138.75</v>
      </c>
      <c r="V259" s="171">
        <f>+S259/Resumo!$D$33</f>
        <v>4.1082417740862243E-3</v>
      </c>
      <c r="W259" s="104"/>
      <c r="X259" s="120"/>
      <c r="Y259" s="358"/>
    </row>
    <row r="260" spans="1:25" s="72" customFormat="1" x14ac:dyDescent="0.25">
      <c r="A260" s="573" t="s">
        <v>929</v>
      </c>
      <c r="B260" s="528" t="s">
        <v>115</v>
      </c>
      <c r="C260" s="528" t="str">
        <f>A260</f>
        <v>2.16.7</v>
      </c>
      <c r="D260" s="554" t="s">
        <v>128</v>
      </c>
      <c r="E260" s="529" t="s">
        <v>61</v>
      </c>
      <c r="F260" s="400">
        <v>280</v>
      </c>
      <c r="G260" s="400"/>
      <c r="H260" s="691">
        <f t="shared" ref="H260" si="420">SUM(F260:G260)</f>
        <v>280</v>
      </c>
      <c r="I260" s="400">
        <v>32</v>
      </c>
      <c r="J260" s="400">
        <v>85</v>
      </c>
      <c r="K260" s="400">
        <v>0</v>
      </c>
      <c r="L260" s="588">
        <f t="shared" si="403"/>
        <v>117</v>
      </c>
      <c r="M260" s="557">
        <f>H260+L260</f>
        <v>397</v>
      </c>
      <c r="N260" s="340">
        <f>(ROUND(VLOOKUP(D260,Comp!$B$2:$M$23042,12,0),2))</f>
        <v>3.42</v>
      </c>
      <c r="O260" s="340">
        <f>ROUND(VLOOKUP(D260,Comp!$B$8:$M$23042,7,0),2)</f>
        <v>1.0900000000000001</v>
      </c>
      <c r="P260" s="340">
        <f t="shared" si="404"/>
        <v>4.51</v>
      </c>
      <c r="Q260" s="340">
        <f t="shared" si="405"/>
        <v>1357.74</v>
      </c>
      <c r="R260" s="340">
        <f t="shared" si="406"/>
        <v>432.73</v>
      </c>
      <c r="S260" s="340">
        <f t="shared" si="407"/>
        <v>1790.47</v>
      </c>
      <c r="T260" s="412">
        <f t="shared" si="408"/>
        <v>0.25</v>
      </c>
      <c r="U260" s="409">
        <f t="shared" si="409"/>
        <v>2238.09</v>
      </c>
      <c r="V260" s="341">
        <f>+S260/Resumo!$D$33</f>
        <v>4.2990553180877623E-3</v>
      </c>
      <c r="W260" s="104"/>
      <c r="X260" s="120"/>
      <c r="Y260" s="358"/>
    </row>
    <row r="261" spans="1:25" x14ac:dyDescent="0.25">
      <c r="A261" s="356"/>
      <c r="B261" s="402"/>
      <c r="C261" s="402"/>
      <c r="D261" s="378"/>
      <c r="E261" s="378"/>
      <c r="F261" s="405"/>
      <c r="G261" s="405"/>
      <c r="H261" s="405"/>
      <c r="I261" s="405"/>
      <c r="J261" s="405"/>
      <c r="K261" s="405"/>
      <c r="L261" s="405"/>
      <c r="M261" s="379"/>
      <c r="N261" s="378"/>
      <c r="O261" s="378"/>
      <c r="P261" s="378"/>
      <c r="Q261" s="378"/>
      <c r="R261" s="378"/>
      <c r="S261" s="378"/>
      <c r="T261" s="378"/>
      <c r="U261" s="378"/>
      <c r="V261" s="380"/>
      <c r="W261" s="60"/>
      <c r="Y261" s="358"/>
    </row>
    <row r="262" spans="1:25" x14ac:dyDescent="0.25">
      <c r="A262" s="107"/>
      <c r="B262" s="394"/>
      <c r="C262" s="394"/>
      <c r="D262" s="67"/>
      <c r="E262" s="67"/>
      <c r="F262" s="406"/>
      <c r="G262" s="406"/>
      <c r="H262" s="406"/>
      <c r="I262" s="406"/>
      <c r="J262" s="406"/>
      <c r="K262" s="406"/>
      <c r="L262" s="406"/>
      <c r="M262" s="51"/>
      <c r="N262" s="67"/>
      <c r="O262" s="67"/>
      <c r="P262" s="174" t="s">
        <v>40</v>
      </c>
      <c r="Q262" s="175">
        <f>Q10</f>
        <v>83046.740000000005</v>
      </c>
      <c r="R262" s="175">
        <f>R10</f>
        <v>299913.48</v>
      </c>
      <c r="S262" s="175">
        <f>S10</f>
        <v>382960.20999999996</v>
      </c>
      <c r="T262" s="175"/>
      <c r="U262" s="175">
        <f>U10</f>
        <v>478700.46000000008</v>
      </c>
      <c r="V262" s="300"/>
      <c r="W262" s="175"/>
      <c r="X262" s="74"/>
      <c r="Y262" s="358"/>
    </row>
    <row r="263" spans="1:25" x14ac:dyDescent="0.25">
      <c r="A263" s="107"/>
      <c r="B263" s="394"/>
      <c r="C263" s="394"/>
      <c r="D263" s="67"/>
      <c r="E263" s="67"/>
      <c r="F263" s="406"/>
      <c r="G263" s="406"/>
      <c r="H263" s="406"/>
      <c r="I263" s="406"/>
      <c r="J263" s="406"/>
      <c r="K263" s="406"/>
      <c r="L263" s="406"/>
      <c r="M263" s="51"/>
      <c r="N263" s="67"/>
      <c r="O263" s="67"/>
      <c r="P263" s="67"/>
      <c r="Q263" s="67"/>
      <c r="R263" s="174" t="s">
        <v>41</v>
      </c>
      <c r="S263" s="385">
        <f>'Dados Gerais'!$D$20</f>
        <v>505</v>
      </c>
      <c r="T263" s="385"/>
      <c r="U263" s="385">
        <f>'Dados Gerais'!$D$20</f>
        <v>505</v>
      </c>
      <c r="V263" s="61"/>
      <c r="W263" s="60"/>
      <c r="X263" s="50"/>
      <c r="Y263" s="358"/>
    </row>
    <row r="264" spans="1:25" x14ac:dyDescent="0.25">
      <c r="A264" s="107"/>
      <c r="B264" s="394"/>
      <c r="C264" s="394"/>
      <c r="D264" s="67"/>
      <c r="E264" s="67"/>
      <c r="F264" s="406"/>
      <c r="G264" s="406"/>
      <c r="H264" s="406"/>
      <c r="I264" s="406"/>
      <c r="J264" s="406"/>
      <c r="K264" s="406"/>
      <c r="L264" s="406"/>
      <c r="M264" s="51"/>
      <c r="N264" s="67"/>
      <c r="O264" s="67"/>
      <c r="P264" s="67"/>
      <c r="Q264" s="67"/>
      <c r="R264" s="174" t="s">
        <v>28</v>
      </c>
      <c r="S264" s="175">
        <f>+ROUND(S262/S263,2)</f>
        <v>758.34</v>
      </c>
      <c r="T264" s="175"/>
      <c r="U264" s="175">
        <f t="shared" ref="U264" si="421">+ROUND(U262/U263,2)</f>
        <v>947.92</v>
      </c>
      <c r="V264" s="61"/>
      <c r="W264" s="67"/>
      <c r="X264" s="128"/>
      <c r="Y264" s="358"/>
    </row>
    <row r="265" spans="1:25" x14ac:dyDescent="0.25">
      <c r="A265" s="343"/>
      <c r="B265" s="395"/>
      <c r="C265" s="395"/>
      <c r="D265" s="245"/>
      <c r="E265" s="245"/>
      <c r="F265" s="407"/>
      <c r="G265" s="407"/>
      <c r="H265" s="407"/>
      <c r="I265" s="407"/>
      <c r="J265" s="407"/>
      <c r="K265" s="407"/>
      <c r="L265" s="407"/>
      <c r="M265" s="246"/>
      <c r="N265" s="245"/>
      <c r="O265" s="245"/>
      <c r="P265" s="245"/>
      <c r="Q265" s="245"/>
      <c r="R265" s="245"/>
      <c r="S265" s="245"/>
      <c r="T265" s="245"/>
      <c r="U265" s="245"/>
      <c r="V265" s="247"/>
      <c r="Y265" s="358"/>
    </row>
    <row r="266" spans="1:25" x14ac:dyDescent="0.25">
      <c r="F266" s="42"/>
      <c r="G266" s="42"/>
      <c r="H266" s="42"/>
      <c r="I266" s="42"/>
      <c r="J266" s="42"/>
      <c r="K266" s="42"/>
      <c r="L266" s="42"/>
      <c r="Q266" s="50"/>
      <c r="Y266" s="358"/>
    </row>
    <row r="267" spans="1:25" x14ac:dyDescent="0.25">
      <c r="D267" s="47"/>
      <c r="E267" s="50"/>
      <c r="F267" s="42"/>
      <c r="G267" s="42"/>
      <c r="H267" s="42"/>
      <c r="I267" s="42"/>
      <c r="J267" s="42"/>
      <c r="K267" s="42"/>
      <c r="L267" s="42"/>
      <c r="P267" s="47" t="s">
        <v>87</v>
      </c>
      <c r="Q267" s="82">
        <f>SUMPRODUCT(N12:N260,M12:M260)</f>
        <v>83046.702610000037</v>
      </c>
      <c r="R267" s="82">
        <f>SUMPRODUCT(O12:O260,M12:M260)</f>
        <v>299913.45756999997</v>
      </c>
      <c r="S267" s="82">
        <f>SUMPRODUCT(P12:P260,M12:M260)</f>
        <v>382960.16017999989</v>
      </c>
      <c r="T267" s="82"/>
      <c r="U267" s="82">
        <f>S267*(1+M6)</f>
        <v>478700.20022499986</v>
      </c>
      <c r="Y267" s="358"/>
    </row>
    <row r="268" spans="1:25" x14ac:dyDescent="0.25">
      <c r="D268" s="47"/>
      <c r="E268" s="50"/>
      <c r="F268" s="42"/>
      <c r="G268" s="42"/>
      <c r="H268" s="42"/>
      <c r="I268" s="42"/>
      <c r="J268" s="42"/>
      <c r="K268" s="42"/>
      <c r="L268" s="42"/>
      <c r="Q268" s="337">
        <f>+Q267/S262</f>
        <v>0.21685465080040572</v>
      </c>
      <c r="R268" s="337">
        <f>+R267/S262</f>
        <v>0.78314521910775015</v>
      </c>
      <c r="S268" s="337">
        <f>+S267/S262</f>
        <v>0.99999986990815559</v>
      </c>
      <c r="T268" s="337"/>
      <c r="U268" s="337"/>
      <c r="Y268" s="358"/>
    </row>
    <row r="269" spans="1:25" x14ac:dyDescent="0.25">
      <c r="D269" s="47"/>
      <c r="E269" s="50"/>
      <c r="F269" s="42"/>
      <c r="G269" s="42"/>
      <c r="H269" s="42"/>
      <c r="I269" s="42"/>
      <c r="J269" s="42"/>
      <c r="K269" s="42"/>
      <c r="L269" s="42"/>
      <c r="S269" s="42"/>
      <c r="T269" s="42"/>
      <c r="U269" s="42"/>
      <c r="V269" s="42"/>
      <c r="Y269" s="358"/>
    </row>
    <row r="270" spans="1:25" x14ac:dyDescent="0.25">
      <c r="F270" s="42"/>
      <c r="G270" s="42"/>
      <c r="H270" s="42"/>
      <c r="I270" s="42"/>
      <c r="J270" s="42"/>
      <c r="K270" s="42"/>
      <c r="L270" s="42"/>
      <c r="S270" s="50">
        <f>S267-S262</f>
        <v>-4.9820000072941184E-2</v>
      </c>
      <c r="T270" s="50"/>
      <c r="U270" s="50"/>
      <c r="V270" s="50"/>
      <c r="Y270" s="358"/>
    </row>
    <row r="271" spans="1:25" x14ac:dyDescent="0.25">
      <c r="A271" s="35"/>
      <c r="B271" s="35"/>
      <c r="C271" s="35"/>
      <c r="F271" s="42"/>
      <c r="G271" s="42"/>
      <c r="H271" s="42"/>
      <c r="I271" s="42"/>
      <c r="J271" s="42"/>
      <c r="K271" s="42"/>
      <c r="L271" s="42"/>
      <c r="M271" s="35"/>
      <c r="R271" s="50"/>
      <c r="Y271" s="358"/>
    </row>
    <row r="272" spans="1:25" x14ac:dyDescent="0.25">
      <c r="F272" s="42"/>
      <c r="G272" s="42"/>
      <c r="H272" s="42"/>
      <c r="I272" s="42"/>
      <c r="J272" s="42"/>
      <c r="K272" s="42"/>
      <c r="L272" s="42"/>
      <c r="Y272" s="358"/>
    </row>
    <row r="273" spans="1:25" x14ac:dyDescent="0.25">
      <c r="F273" s="42"/>
      <c r="G273" s="42"/>
      <c r="H273" s="42"/>
      <c r="I273" s="42"/>
      <c r="J273" s="42"/>
      <c r="K273" s="42"/>
      <c r="L273" s="42"/>
      <c r="Y273" s="358"/>
    </row>
    <row r="274" spans="1:25" x14ac:dyDescent="0.25">
      <c r="F274" s="42"/>
      <c r="G274" s="42"/>
      <c r="H274" s="42"/>
      <c r="I274" s="42"/>
      <c r="J274" s="42"/>
      <c r="K274" s="42"/>
      <c r="L274" s="42"/>
      <c r="Y274" s="358"/>
    </row>
    <row r="275" spans="1:25" x14ac:dyDescent="0.25">
      <c r="F275" s="42"/>
      <c r="G275" s="42"/>
      <c r="H275" s="42"/>
      <c r="I275" s="42"/>
      <c r="J275" s="42"/>
      <c r="K275" s="42"/>
      <c r="L275" s="42"/>
      <c r="Y275" s="358"/>
    </row>
    <row r="276" spans="1:25" x14ac:dyDescent="0.25">
      <c r="F276" s="42"/>
      <c r="G276" s="42"/>
      <c r="H276" s="42"/>
      <c r="I276" s="42"/>
      <c r="J276" s="42"/>
      <c r="K276" s="42"/>
      <c r="L276" s="42"/>
    </row>
    <row r="277" spans="1:25" x14ac:dyDescent="0.25">
      <c r="F277" s="42"/>
      <c r="G277" s="42"/>
      <c r="H277" s="42"/>
      <c r="I277" s="42"/>
      <c r="J277" s="42"/>
      <c r="K277" s="42"/>
      <c r="L277" s="42"/>
    </row>
    <row r="278" spans="1:25" x14ac:dyDescent="0.25">
      <c r="F278" s="42"/>
      <c r="G278" s="42"/>
      <c r="H278" s="42"/>
      <c r="I278" s="42"/>
      <c r="J278" s="42"/>
      <c r="K278" s="42"/>
      <c r="L278" s="42"/>
    </row>
    <row r="279" spans="1:25" x14ac:dyDescent="0.25">
      <c r="F279" s="42"/>
      <c r="G279" s="42"/>
      <c r="H279" s="42"/>
      <c r="I279" s="42"/>
      <c r="J279" s="42"/>
      <c r="K279" s="42"/>
      <c r="L279" s="42"/>
    </row>
    <row r="280" spans="1:25" x14ac:dyDescent="0.25">
      <c r="F280" s="42"/>
      <c r="G280" s="42"/>
      <c r="H280" s="42"/>
      <c r="I280" s="42"/>
      <c r="J280" s="42"/>
      <c r="K280" s="42"/>
      <c r="L280" s="42"/>
    </row>
    <row r="281" spans="1:25" x14ac:dyDescent="0.25">
      <c r="F281" s="42"/>
      <c r="G281" s="42"/>
      <c r="H281" s="42"/>
      <c r="I281" s="42"/>
      <c r="J281" s="42"/>
      <c r="K281" s="42"/>
      <c r="L281" s="42"/>
    </row>
    <row r="282" spans="1:25" x14ac:dyDescent="0.25">
      <c r="F282" s="42"/>
      <c r="G282" s="42"/>
      <c r="H282" s="42"/>
      <c r="I282" s="42"/>
      <c r="J282" s="42"/>
      <c r="K282" s="42"/>
      <c r="L282" s="42"/>
    </row>
    <row r="283" spans="1:25" x14ac:dyDescent="0.25">
      <c r="F283" s="42"/>
      <c r="G283" s="42"/>
      <c r="H283" s="42"/>
      <c r="I283" s="42"/>
      <c r="J283" s="42"/>
      <c r="K283" s="42"/>
      <c r="L283" s="42"/>
    </row>
    <row r="284" spans="1:25" x14ac:dyDescent="0.25">
      <c r="A284" s="35"/>
      <c r="B284" s="35"/>
      <c r="C284" s="35"/>
      <c r="F284" s="42"/>
      <c r="G284" s="42"/>
      <c r="H284" s="42"/>
      <c r="I284" s="42"/>
      <c r="J284" s="42"/>
      <c r="K284" s="42"/>
      <c r="L284" s="42"/>
      <c r="M284" s="35"/>
    </row>
    <row r="285" spans="1:25" x14ac:dyDescent="0.25">
      <c r="A285" s="35"/>
      <c r="B285" s="35"/>
      <c r="C285" s="35"/>
      <c r="F285" s="42"/>
      <c r="G285" s="42"/>
      <c r="H285" s="42"/>
      <c r="I285" s="42"/>
      <c r="J285" s="42"/>
      <c r="K285" s="42"/>
      <c r="L285" s="42"/>
      <c r="M285" s="35"/>
    </row>
    <row r="286" spans="1:25" x14ac:dyDescent="0.25">
      <c r="A286" s="35"/>
      <c r="B286" s="35"/>
      <c r="C286" s="35"/>
      <c r="F286" s="42"/>
      <c r="G286" s="42"/>
      <c r="H286" s="42"/>
      <c r="I286" s="42"/>
      <c r="J286" s="42"/>
      <c r="K286" s="42"/>
      <c r="L286" s="42"/>
      <c r="M286" s="35"/>
    </row>
    <row r="287" spans="1:25" x14ac:dyDescent="0.25">
      <c r="A287" s="35"/>
      <c r="B287" s="35"/>
      <c r="C287" s="35"/>
      <c r="F287" s="42"/>
      <c r="G287" s="42"/>
      <c r="H287" s="42"/>
      <c r="I287" s="42"/>
      <c r="J287" s="42"/>
      <c r="K287" s="42"/>
      <c r="L287" s="42"/>
      <c r="M287" s="35"/>
    </row>
    <row r="288" spans="1:25" x14ac:dyDescent="0.25">
      <c r="A288" s="35"/>
      <c r="B288" s="35"/>
      <c r="C288" s="35"/>
      <c r="F288" s="42"/>
      <c r="G288" s="42"/>
      <c r="H288" s="42"/>
      <c r="I288" s="42"/>
      <c r="J288" s="42"/>
      <c r="K288" s="42"/>
      <c r="L288" s="42"/>
      <c r="M288" s="35"/>
    </row>
    <row r="289" spans="1:13" x14ac:dyDescent="0.25">
      <c r="A289" s="35"/>
      <c r="B289" s="35"/>
      <c r="C289" s="35"/>
      <c r="F289" s="42"/>
      <c r="G289" s="42"/>
      <c r="H289" s="42"/>
      <c r="I289" s="42"/>
      <c r="J289" s="42"/>
      <c r="K289" s="42"/>
      <c r="L289" s="42"/>
      <c r="M289" s="35"/>
    </row>
    <row r="290" spans="1:13" x14ac:dyDescent="0.25">
      <c r="A290" s="35"/>
      <c r="B290" s="35"/>
      <c r="C290" s="35"/>
      <c r="F290" s="42"/>
      <c r="G290" s="42"/>
      <c r="H290" s="42"/>
      <c r="I290" s="42"/>
      <c r="J290" s="42"/>
      <c r="K290" s="42"/>
      <c r="L290" s="42"/>
      <c r="M290" s="35"/>
    </row>
    <row r="291" spans="1:13" x14ac:dyDescent="0.25">
      <c r="A291" s="35"/>
      <c r="B291" s="35"/>
      <c r="C291" s="35"/>
      <c r="F291" s="42"/>
      <c r="G291" s="42"/>
      <c r="H291" s="42"/>
      <c r="I291" s="42"/>
      <c r="J291" s="42"/>
      <c r="K291" s="42"/>
      <c r="L291" s="42"/>
      <c r="M291" s="35"/>
    </row>
    <row r="292" spans="1:13" x14ac:dyDescent="0.25">
      <c r="A292" s="35"/>
      <c r="B292" s="35"/>
      <c r="C292" s="35"/>
      <c r="F292" s="42"/>
      <c r="G292" s="42"/>
      <c r="H292" s="42"/>
      <c r="I292" s="42"/>
      <c r="J292" s="42"/>
      <c r="K292" s="42"/>
      <c r="L292" s="42"/>
      <c r="M292" s="35"/>
    </row>
    <row r="293" spans="1:13" x14ac:dyDescent="0.25">
      <c r="A293" s="35"/>
      <c r="B293" s="35"/>
      <c r="C293" s="35"/>
      <c r="F293" s="42"/>
      <c r="G293" s="42"/>
      <c r="H293" s="42"/>
      <c r="I293" s="42"/>
      <c r="J293" s="42"/>
      <c r="K293" s="42"/>
      <c r="L293" s="42"/>
      <c r="M293" s="35"/>
    </row>
    <row r="294" spans="1:13" x14ac:dyDescent="0.25">
      <c r="A294" s="35"/>
      <c r="B294" s="35"/>
      <c r="C294" s="35"/>
      <c r="F294" s="42"/>
      <c r="G294" s="42"/>
      <c r="H294" s="42"/>
      <c r="I294" s="42"/>
      <c r="J294" s="42"/>
      <c r="K294" s="42"/>
      <c r="L294" s="42"/>
      <c r="M294" s="35"/>
    </row>
    <row r="295" spans="1:13" x14ac:dyDescent="0.25">
      <c r="A295" s="35"/>
      <c r="B295" s="35"/>
      <c r="C295" s="35"/>
      <c r="F295" s="42"/>
      <c r="G295" s="42"/>
      <c r="H295" s="42"/>
      <c r="I295" s="42"/>
      <c r="J295" s="42"/>
      <c r="K295" s="42"/>
      <c r="L295" s="42"/>
      <c r="M295" s="35"/>
    </row>
    <row r="296" spans="1:13" x14ac:dyDescent="0.25">
      <c r="A296" s="35"/>
      <c r="B296" s="35"/>
      <c r="C296" s="35"/>
      <c r="F296" s="42"/>
      <c r="G296" s="42"/>
      <c r="H296" s="42"/>
      <c r="I296" s="42"/>
      <c r="J296" s="42"/>
      <c r="K296" s="42"/>
      <c r="L296" s="42"/>
      <c r="M296" s="35"/>
    </row>
    <row r="297" spans="1:13" x14ac:dyDescent="0.25">
      <c r="A297" s="35"/>
      <c r="B297" s="35"/>
      <c r="C297" s="35"/>
      <c r="F297" s="42"/>
      <c r="G297" s="42"/>
      <c r="H297" s="42"/>
      <c r="I297" s="42"/>
      <c r="J297" s="42"/>
      <c r="K297" s="42"/>
      <c r="L297" s="42"/>
      <c r="M297" s="35"/>
    </row>
    <row r="298" spans="1:13" x14ac:dyDescent="0.25">
      <c r="A298" s="35"/>
      <c r="B298" s="35"/>
      <c r="C298" s="35"/>
      <c r="F298" s="42"/>
      <c r="G298" s="42"/>
      <c r="H298" s="42"/>
      <c r="I298" s="42"/>
      <c r="J298" s="42"/>
      <c r="K298" s="42"/>
      <c r="L298" s="42"/>
      <c r="M298" s="35"/>
    </row>
    <row r="299" spans="1:13" x14ac:dyDescent="0.25">
      <c r="A299" s="35"/>
      <c r="B299" s="35"/>
      <c r="C299" s="35"/>
      <c r="F299" s="42"/>
      <c r="G299" s="42"/>
      <c r="H299" s="42"/>
      <c r="I299" s="42"/>
      <c r="J299" s="42"/>
      <c r="K299" s="42"/>
      <c r="L299" s="42"/>
      <c r="M299" s="35"/>
    </row>
    <row r="300" spans="1:13" x14ac:dyDescent="0.25">
      <c r="A300" s="35"/>
      <c r="B300" s="35"/>
      <c r="C300" s="35"/>
      <c r="F300" s="42"/>
      <c r="G300" s="42"/>
      <c r="H300" s="42"/>
      <c r="I300" s="42"/>
      <c r="J300" s="42"/>
      <c r="K300" s="42"/>
      <c r="L300" s="42"/>
      <c r="M300" s="35"/>
    </row>
    <row r="301" spans="1:13" x14ac:dyDescent="0.25">
      <c r="A301" s="35"/>
      <c r="B301" s="35"/>
      <c r="C301" s="35"/>
      <c r="F301" s="42"/>
      <c r="G301" s="42"/>
      <c r="H301" s="42"/>
      <c r="I301" s="42"/>
      <c r="J301" s="42"/>
      <c r="K301" s="42"/>
      <c r="L301" s="42"/>
      <c r="M301" s="35"/>
    </row>
    <row r="302" spans="1:13" x14ac:dyDescent="0.25">
      <c r="A302" s="35"/>
      <c r="B302" s="35"/>
      <c r="C302" s="35"/>
      <c r="F302" s="42"/>
      <c r="G302" s="42"/>
      <c r="H302" s="42"/>
      <c r="I302" s="42"/>
      <c r="J302" s="42"/>
      <c r="K302" s="42"/>
      <c r="L302" s="42"/>
      <c r="M302" s="35"/>
    </row>
    <row r="303" spans="1:13" x14ac:dyDescent="0.25">
      <c r="A303" s="35"/>
      <c r="B303" s="35"/>
      <c r="C303" s="35"/>
      <c r="F303" s="42"/>
      <c r="G303" s="42"/>
      <c r="H303" s="42"/>
      <c r="I303" s="42"/>
      <c r="J303" s="42"/>
      <c r="K303" s="42"/>
      <c r="L303" s="42"/>
      <c r="M303" s="35"/>
    </row>
  </sheetData>
  <autoFilter ref="A8:W269">
    <filterColumn colId="13" showButton="0"/>
    <filterColumn colId="16" showButton="0"/>
  </autoFilter>
  <mergeCells count="22">
    <mergeCell ref="A7:V7"/>
    <mergeCell ref="Q8:R8"/>
    <mergeCell ref="S8:S9"/>
    <mergeCell ref="V8:V9"/>
    <mergeCell ref="A2:O2"/>
    <mergeCell ref="U8:U9"/>
    <mergeCell ref="T8:T9"/>
    <mergeCell ref="X8:X9"/>
    <mergeCell ref="A8:A9"/>
    <mergeCell ref="D8:D9"/>
    <mergeCell ref="E8:E9"/>
    <mergeCell ref="M8:M9"/>
    <mergeCell ref="N8:O8"/>
    <mergeCell ref="F8:F9"/>
    <mergeCell ref="K8:K9"/>
    <mergeCell ref="B8:B9"/>
    <mergeCell ref="C8:C9"/>
    <mergeCell ref="G8:G9"/>
    <mergeCell ref="I8:I9"/>
    <mergeCell ref="J8:J9"/>
    <mergeCell ref="H8:H9"/>
    <mergeCell ref="L8:L9"/>
  </mergeCells>
  <phoneticPr fontId="76" type="noConversion"/>
  <printOptions horizontalCentered="1"/>
  <pageMargins left="0.23622047244094491" right="0.23622047244094491" top="0.39370078740157483" bottom="0.59055118110236227" header="0.31496062992125984" footer="0.31496062992125984"/>
  <pageSetup paperSize="9" scale="46" fitToHeight="0" orientation="landscape" r:id="rId1"/>
  <headerFooter>
    <oddFooter>&amp;CPág. &amp;P de &amp;N</oddFooter>
  </headerFooter>
  <rowBreaks count="1" manualBreakCount="1">
    <brk id="80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tabColor rgb="FF002060"/>
    <pageSetUpPr fitToPage="1"/>
  </sheetPr>
  <dimension ref="A1:BA549"/>
  <sheetViews>
    <sheetView showGridLines="0" view="pageBreakPreview" zoomScale="70" zoomScaleNormal="85" zoomScaleSheetLayoutView="70" workbookViewId="0">
      <pane xSplit="2" ySplit="7" topLeftCell="C8" activePane="bottomRight" state="frozen"/>
      <selection activeCell="B7" sqref="B7:G7"/>
      <selection pane="topRight" activeCell="B7" sqref="B7:G7"/>
      <selection pane="bottomLeft" activeCell="B7" sqref="B7:G7"/>
      <selection pane="bottomRight" activeCell="A5" sqref="A5:N5"/>
    </sheetView>
  </sheetViews>
  <sheetFormatPr defaultColWidth="9.140625" defaultRowHeight="16.5" x14ac:dyDescent="0.35"/>
  <cols>
    <col min="1" max="1" width="8.85546875" style="3" customWidth="1"/>
    <col min="2" max="2" width="28.7109375" style="3" customWidth="1"/>
    <col min="3" max="3" width="7" style="3" customWidth="1"/>
    <col min="4" max="4" width="20.85546875" style="3" customWidth="1"/>
    <col min="5" max="5" width="6" style="3" customWidth="1"/>
    <col min="6" max="6" width="8.5703125" style="3" bestFit="1" customWidth="1"/>
    <col min="7" max="7" width="10.42578125" style="88" bestFit="1" customWidth="1"/>
    <col min="8" max="8" width="11" style="84" bestFit="1" customWidth="1"/>
    <col min="9" max="9" width="20.5703125" style="3" customWidth="1"/>
    <col min="10" max="10" width="4.42578125" style="3" customWidth="1"/>
    <col min="11" max="11" width="11.42578125" style="84" customWidth="1"/>
    <col min="12" max="12" width="13.85546875" style="3" bestFit="1" customWidth="1"/>
    <col min="13" max="13" width="12.85546875" style="84" bestFit="1" customWidth="1"/>
    <col min="14" max="14" width="14" style="84" customWidth="1"/>
    <col min="15" max="15" width="9.140625" style="3"/>
    <col min="16" max="16" width="30.85546875" style="3" customWidth="1"/>
    <col min="17" max="17" width="109.85546875" style="3" customWidth="1"/>
    <col min="18" max="18" width="13.85546875" style="3" bestFit="1" customWidth="1"/>
    <col min="19" max="16384" width="9.140625" style="3"/>
  </cols>
  <sheetData>
    <row r="1" spans="1:45" s="1" customFormat="1" x14ac:dyDescent="0.35">
      <c r="A1" s="322" t="s">
        <v>4</v>
      </c>
      <c r="B1" s="323" t="str">
        <f>PO_IND!D3</f>
        <v>HCPA - CPE - Projeto Laboratórios de Pesquisa</v>
      </c>
      <c r="C1" s="283"/>
      <c r="D1" s="283"/>
      <c r="E1" s="283"/>
      <c r="F1" s="283"/>
      <c r="G1" s="284"/>
      <c r="H1" s="285"/>
      <c r="I1" s="286"/>
      <c r="J1" s="286"/>
      <c r="K1" s="287"/>
      <c r="L1" s="286"/>
      <c r="M1" s="287"/>
      <c r="N1" s="288"/>
    </row>
    <row r="2" spans="1:45" s="1" customFormat="1" x14ac:dyDescent="0.35">
      <c r="A2" s="324" t="s">
        <v>99</v>
      </c>
      <c r="B2" s="325" t="str">
        <f>PO_IND!D4</f>
        <v>CPE - 2º Pavimento</v>
      </c>
      <c r="C2" s="195"/>
      <c r="D2" s="195"/>
      <c r="E2" s="195"/>
      <c r="F2" s="195"/>
      <c r="G2" s="196"/>
      <c r="H2" s="86"/>
      <c r="I2" s="2"/>
      <c r="J2" s="2"/>
      <c r="K2" s="83"/>
      <c r="L2" s="2"/>
      <c r="M2" s="83"/>
      <c r="N2" s="85"/>
    </row>
    <row r="3" spans="1:45" s="1" customFormat="1" x14ac:dyDescent="0.35">
      <c r="A3" s="324" t="s">
        <v>6</v>
      </c>
      <c r="B3" s="325" t="str">
        <f>PO_IND!D5</f>
        <v>Porto Alegre / RS</v>
      </c>
      <c r="C3" s="195"/>
      <c r="D3" s="195"/>
      <c r="E3" s="195"/>
      <c r="F3" s="195"/>
      <c r="G3" s="196"/>
      <c r="H3" s="86"/>
      <c r="I3" s="2"/>
      <c r="J3" s="2"/>
      <c r="K3" s="83"/>
      <c r="L3" s="2"/>
      <c r="M3" s="83"/>
      <c r="N3" s="85"/>
    </row>
    <row r="4" spans="1:45" s="1" customFormat="1" x14ac:dyDescent="0.35">
      <c r="A4" s="326"/>
      <c r="B4" s="291" t="str">
        <f>PO_IND!D6</f>
        <v>-</v>
      </c>
      <c r="C4" s="289"/>
      <c r="D4" s="290"/>
      <c r="E4" s="290"/>
      <c r="F4" s="291"/>
      <c r="G4" s="292"/>
      <c r="H4" s="87" t="s">
        <v>11</v>
      </c>
      <c r="I4" s="293">
        <f>'Dados Gerais'!E26</f>
        <v>44426</v>
      </c>
      <c r="J4" s="44"/>
      <c r="K4" s="83"/>
      <c r="L4" s="2"/>
      <c r="M4" s="294" t="s">
        <v>12</v>
      </c>
      <c r="N4" s="295" t="str">
        <f>'Dados Gerais'!E29</f>
        <v>R03</v>
      </c>
    </row>
    <row r="5" spans="1:45" ht="17.25" x14ac:dyDescent="0.35">
      <c r="A5" s="627" t="s">
        <v>14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9"/>
    </row>
    <row r="6" spans="1:45" x14ac:dyDescent="0.35">
      <c r="A6" s="676" t="s">
        <v>53</v>
      </c>
      <c r="B6" s="674"/>
      <c r="C6" s="675"/>
      <c r="D6" s="673" t="s">
        <v>51</v>
      </c>
      <c r="E6" s="674"/>
      <c r="F6" s="674"/>
      <c r="G6" s="674"/>
      <c r="H6" s="675"/>
      <c r="I6" s="673" t="s">
        <v>52</v>
      </c>
      <c r="J6" s="674"/>
      <c r="K6" s="674"/>
      <c r="L6" s="674"/>
      <c r="M6" s="674"/>
      <c r="N6" s="677" t="s">
        <v>45</v>
      </c>
    </row>
    <row r="7" spans="1:45" x14ac:dyDescent="0.35">
      <c r="A7" s="147" t="s">
        <v>0</v>
      </c>
      <c r="B7" s="296" t="s">
        <v>15</v>
      </c>
      <c r="C7" s="297" t="s">
        <v>16</v>
      </c>
      <c r="D7" s="296" t="s">
        <v>17</v>
      </c>
      <c r="E7" s="296" t="s">
        <v>60</v>
      </c>
      <c r="F7" s="296" t="s">
        <v>18</v>
      </c>
      <c r="G7" s="298" t="s">
        <v>19</v>
      </c>
      <c r="H7" s="299" t="s">
        <v>20</v>
      </c>
      <c r="I7" s="296" t="s">
        <v>21</v>
      </c>
      <c r="J7" s="296" t="s">
        <v>60</v>
      </c>
      <c r="K7" s="299" t="s">
        <v>18</v>
      </c>
      <c r="L7" s="296" t="s">
        <v>19</v>
      </c>
      <c r="M7" s="148" t="s">
        <v>22</v>
      </c>
      <c r="N7" s="678"/>
    </row>
    <row r="8" spans="1:45" x14ac:dyDescent="0.35">
      <c r="A8" s="149" t="str">
        <f>PO_IND!A24</f>
        <v>1.2.1.5</v>
      </c>
      <c r="B8" s="41" t="str">
        <f>PO_IND!D24</f>
        <v>PLACA DE OBRA</v>
      </c>
      <c r="C8" s="152" t="str">
        <f>PO_IND!E24</f>
        <v>M2</v>
      </c>
      <c r="D8" s="151"/>
      <c r="E8" s="69"/>
      <c r="F8" s="185"/>
      <c r="G8" s="140"/>
      <c r="H8" s="187">
        <f>+SUM(H9:H10)</f>
        <v>236.25</v>
      </c>
      <c r="I8" s="182"/>
      <c r="J8" s="183"/>
      <c r="K8" s="187"/>
      <c r="L8" s="197"/>
      <c r="M8" s="187">
        <f>+SUM(M9:M10)</f>
        <v>30.089999999999996</v>
      </c>
      <c r="N8" s="202">
        <f>+IF(A8&gt;0,SUM(H8:M8),0)</f>
        <v>266.33999999999997</v>
      </c>
    </row>
    <row r="9" spans="1:45" ht="54" x14ac:dyDescent="0.35">
      <c r="A9" s="149"/>
      <c r="B9" s="41"/>
      <c r="C9" s="150"/>
      <c r="D9" s="37" t="s">
        <v>102</v>
      </c>
      <c r="E9" s="38" t="str">
        <f>+VLOOKUP(D9,Insumos_MAT!$B$8:$G$16489,2,0)</f>
        <v>M2</v>
      </c>
      <c r="F9" s="184">
        <f>+VLOOKUP(D9,Insumos_MAT!$B$8:$G$16489,6,0)</f>
        <v>225</v>
      </c>
      <c r="G9" s="141">
        <v>1.05</v>
      </c>
      <c r="H9" s="184">
        <f>F9*G9</f>
        <v>236.25</v>
      </c>
      <c r="I9" s="37" t="s">
        <v>157</v>
      </c>
      <c r="J9" s="39" t="str">
        <f>+VLOOKUP(I9,Insumos_MO!$B$8:$F$3747,2,0)</f>
        <v>H</v>
      </c>
      <c r="K9" s="184">
        <f>+VLOOKUP(I9,Insumos_MO!$B$8:$G$18183,5,0)</f>
        <v>20.5</v>
      </c>
      <c r="L9" s="198">
        <v>0.8</v>
      </c>
      <c r="M9" s="184">
        <f>+ROUND(K9*L9,2)</f>
        <v>16.399999999999999</v>
      </c>
      <c r="N9" s="203"/>
    </row>
    <row r="10" spans="1:45" ht="40.5" x14ac:dyDescent="0.35">
      <c r="A10" s="149"/>
      <c r="B10" s="41"/>
      <c r="C10" s="150"/>
      <c r="D10" s="37"/>
      <c r="E10" s="38"/>
      <c r="F10" s="184"/>
      <c r="G10" s="141"/>
      <c r="H10" s="184"/>
      <c r="I10" s="37" t="s">
        <v>116</v>
      </c>
      <c r="J10" s="39" t="str">
        <f>+VLOOKUP(I10,Insumos_MO!$B$8:$F$3747,2,0)</f>
        <v>H</v>
      </c>
      <c r="K10" s="184">
        <f>+VLOOKUP(I10,Insumos_MO!$B$8:$G$18183,5,0)</f>
        <v>17.11</v>
      </c>
      <c r="L10" s="198">
        <v>0.8</v>
      </c>
      <c r="M10" s="184">
        <f>+ROUND(K10*L10,2)</f>
        <v>13.69</v>
      </c>
      <c r="N10" s="203"/>
    </row>
    <row r="11" spans="1:45" x14ac:dyDescent="0.35">
      <c r="A11" s="149"/>
      <c r="B11" s="41"/>
      <c r="C11" s="150"/>
      <c r="D11" s="37"/>
      <c r="E11" s="38"/>
      <c r="F11" s="184"/>
      <c r="G11" s="141"/>
      <c r="H11" s="184"/>
      <c r="I11" s="153"/>
      <c r="J11" s="39"/>
      <c r="K11" s="184"/>
      <c r="L11" s="198"/>
      <c r="M11" s="184"/>
      <c r="N11" s="203"/>
    </row>
    <row r="12" spans="1:45" ht="36" customHeight="1" x14ac:dyDescent="0.35">
      <c r="A12" s="149" t="str">
        <f>PO_IND!A25</f>
        <v>1.2.1.6</v>
      </c>
      <c r="B12" s="41" t="str">
        <f>PO_IND!D25</f>
        <v>LOCAÇÃO DE CONTAINER ESCRITÓRIO - INSTALAÇÃO EXTERNA AO PRÉDIO</v>
      </c>
      <c r="C12" s="384" t="str">
        <f>PO_IND!E25</f>
        <v>MÊS</v>
      </c>
      <c r="D12" s="151"/>
      <c r="E12" s="69"/>
      <c r="F12" s="185"/>
      <c r="G12" s="140"/>
      <c r="H12" s="187">
        <f>+SUM(H13:H13)</f>
        <v>570</v>
      </c>
      <c r="I12" s="182"/>
      <c r="J12" s="183"/>
      <c r="K12" s="187"/>
      <c r="L12" s="197"/>
      <c r="M12" s="187"/>
      <c r="N12" s="202">
        <f>+IF(A12&gt;0,SUM(H12:M12),0)</f>
        <v>570</v>
      </c>
    </row>
    <row r="13" spans="1:45" ht="27" x14ac:dyDescent="0.35">
      <c r="A13" s="149"/>
      <c r="B13" s="41"/>
      <c r="C13" s="150"/>
      <c r="D13" s="37" t="s">
        <v>159</v>
      </c>
      <c r="E13" s="38" t="str">
        <f>+VLOOKUP(D13,Insumos_MAT!$B$8:$G$16489,2,0)</f>
        <v>MÊS</v>
      </c>
      <c r="F13" s="184">
        <f>+VLOOKUP(D13,Insumos_MAT!$B$8:$G$16489,6,0)</f>
        <v>570</v>
      </c>
      <c r="G13" s="141">
        <v>1</v>
      </c>
      <c r="H13" s="184">
        <f>F13*G13</f>
        <v>570</v>
      </c>
      <c r="I13" s="37"/>
      <c r="J13" s="39"/>
      <c r="K13" s="184"/>
      <c r="L13" s="198"/>
      <c r="M13" s="184"/>
      <c r="N13" s="203"/>
    </row>
    <row r="14" spans="1:45" x14ac:dyDescent="0.35">
      <c r="A14" s="149"/>
      <c r="B14" s="41"/>
      <c r="C14" s="150"/>
      <c r="D14" s="37"/>
      <c r="E14" s="38"/>
      <c r="F14" s="184"/>
      <c r="G14" s="141"/>
      <c r="H14" s="184"/>
      <c r="I14" s="37"/>
      <c r="J14" s="39"/>
      <c r="K14" s="184"/>
      <c r="L14" s="198"/>
      <c r="M14" s="184"/>
      <c r="N14" s="203"/>
    </row>
    <row r="15" spans="1:45" s="36" customFormat="1" ht="27" customHeight="1" x14ac:dyDescent="0.35">
      <c r="A15" s="188" t="str">
        <f>PO_IND!A27</f>
        <v>1.2.1.8</v>
      </c>
      <c r="B15" s="539" t="str">
        <f>PO_IND!D27</f>
        <v>DESMOBILIZAÇÃO CANTEIRO DE OBRAS</v>
      </c>
      <c r="C15" s="152" t="str">
        <f>PO_IND!E27</f>
        <v>UNID.</v>
      </c>
      <c r="D15" s="41"/>
      <c r="E15" s="41"/>
      <c r="F15" s="185"/>
      <c r="G15" s="140"/>
      <c r="H15" s="187"/>
      <c r="I15" s="182"/>
      <c r="J15" s="183"/>
      <c r="K15" s="187"/>
      <c r="L15" s="197"/>
      <c r="M15" s="187">
        <f>+SUM(M16:M16)</f>
        <v>684.4</v>
      </c>
      <c r="N15" s="202">
        <f>+IF(A15&gt;0,SUM(H15:M15),0)</f>
        <v>684.4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s="36" customFormat="1" ht="41.25" x14ac:dyDescent="0.35">
      <c r="A16" s="154"/>
      <c r="B16" s="153"/>
      <c r="C16" s="155"/>
      <c r="D16" s="37"/>
      <c r="E16" s="38"/>
      <c r="F16" s="184"/>
      <c r="G16" s="141"/>
      <c r="H16" s="184"/>
      <c r="I16" s="153" t="s">
        <v>116</v>
      </c>
      <c r="J16" s="39" t="str">
        <f>+VLOOKUP(I16,Insumos_MO!$B$8:$F$3747,2,0)</f>
        <v>H</v>
      </c>
      <c r="K16" s="184">
        <f>+VLOOKUP(I16,Insumos_MO!$B$8:$G$18183,5,0)</f>
        <v>17.11</v>
      </c>
      <c r="L16" s="198">
        <v>40</v>
      </c>
      <c r="M16" s="184">
        <f>+ROUND(K16*L16,2)</f>
        <v>684.4</v>
      </c>
      <c r="N16" s="20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53" s="36" customFormat="1" x14ac:dyDescent="0.35">
      <c r="A17" s="154"/>
      <c r="B17" s="153"/>
      <c r="C17" s="155"/>
      <c r="D17" s="37"/>
      <c r="E17" s="38"/>
      <c r="F17" s="184"/>
      <c r="G17" s="141"/>
      <c r="H17" s="184"/>
      <c r="I17" s="153"/>
      <c r="J17" s="39"/>
      <c r="K17" s="184"/>
      <c r="L17" s="198"/>
      <c r="M17" s="184"/>
      <c r="N17" s="20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53" ht="24" customHeight="1" x14ac:dyDescent="0.35">
      <c r="A18" s="149" t="str">
        <f>PO_IND!A29</f>
        <v>1.2.2.1</v>
      </c>
      <c r="B18" s="539" t="str">
        <f>PO_IND!D29</f>
        <v>EXTINTORES PARA INSTALAÇÕES PROVISÓRIAS</v>
      </c>
      <c r="C18" s="152" t="str">
        <f>PO_IND!E29</f>
        <v>UNID.</v>
      </c>
      <c r="D18" s="41"/>
      <c r="E18" s="41"/>
      <c r="F18" s="185"/>
      <c r="G18" s="140"/>
      <c r="H18" s="187">
        <f>SUM(H19:H20)</f>
        <v>193.27</v>
      </c>
      <c r="I18" s="182"/>
      <c r="J18" s="183"/>
      <c r="K18" s="187"/>
      <c r="L18" s="197"/>
      <c r="M18" s="187">
        <f>SUM(M19:M20)</f>
        <v>4.28</v>
      </c>
      <c r="N18" s="202">
        <f>+IF(A18&gt;0,SUM(H18:M18),0)</f>
        <v>197.55</v>
      </c>
    </row>
    <row r="19" spans="1:53" ht="41.25" x14ac:dyDescent="0.35">
      <c r="A19" s="149"/>
      <c r="B19" s="41"/>
      <c r="C19" s="150"/>
      <c r="D19" s="37" t="s">
        <v>48</v>
      </c>
      <c r="E19" s="38" t="str">
        <f>+VLOOKUP(D19,Insumos_MAT!$B$8:$G$16489,2,0)</f>
        <v>UNID.</v>
      </c>
      <c r="F19" s="184">
        <f>+VLOOKUP(D19,Insumos_MAT!$B$8:$G$16489,6,0)</f>
        <v>183.75</v>
      </c>
      <c r="G19" s="141">
        <v>1</v>
      </c>
      <c r="H19" s="184">
        <f>F19*G19</f>
        <v>183.75</v>
      </c>
      <c r="I19" s="153" t="s">
        <v>116</v>
      </c>
      <c r="J19" s="39" t="str">
        <f>+VLOOKUP(I19,Insumos_MO!$B$8:$F$3741,2,0)</f>
        <v>H</v>
      </c>
      <c r="K19" s="184">
        <f>+VLOOKUP(I19,Insumos_MO!$B$8:$G$18183,5,0)</f>
        <v>17.11</v>
      </c>
      <c r="L19" s="198">
        <v>0.25</v>
      </c>
      <c r="M19" s="184">
        <f>+ROUND(K19*L19,2)</f>
        <v>4.28</v>
      </c>
      <c r="N19" s="206"/>
      <c r="O19" s="24"/>
    </row>
    <row r="20" spans="1:53" ht="27" x14ac:dyDescent="0.35">
      <c r="A20" s="149"/>
      <c r="B20" s="41"/>
      <c r="C20" s="150"/>
      <c r="D20" s="37" t="s">
        <v>81</v>
      </c>
      <c r="E20" s="38" t="str">
        <f>+VLOOKUP(D20,Insumos_MAT!$B$8:$G$16489,2,0)</f>
        <v>UNID.</v>
      </c>
      <c r="F20" s="184">
        <f>+VLOOKUP(D20,Insumos_MAT!$B$8:$G$16489,6,0)</f>
        <v>9.52</v>
      </c>
      <c r="G20" s="141">
        <v>1</v>
      </c>
      <c r="H20" s="184">
        <f>F20*G20</f>
        <v>9.52</v>
      </c>
      <c r="I20" s="153"/>
      <c r="J20" s="39"/>
      <c r="K20" s="184"/>
      <c r="L20" s="198"/>
      <c r="M20" s="184"/>
      <c r="N20" s="203"/>
      <c r="O20" s="24"/>
    </row>
    <row r="21" spans="1:53" s="36" customFormat="1" x14ac:dyDescent="0.35">
      <c r="A21" s="176"/>
      <c r="B21" s="177"/>
      <c r="C21" s="178"/>
      <c r="D21" s="179"/>
      <c r="E21" s="177"/>
      <c r="F21" s="186"/>
      <c r="G21" s="180"/>
      <c r="H21" s="186"/>
      <c r="I21" s="179"/>
      <c r="J21" s="177"/>
      <c r="K21" s="186"/>
      <c r="L21" s="200"/>
      <c r="M21" s="186"/>
      <c r="N21" s="20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ht="27.75" x14ac:dyDescent="0.35">
      <c r="A22" s="149" t="str">
        <f>PO_IND!A32</f>
        <v>1.2.3.1</v>
      </c>
      <c r="B22" s="539" t="str">
        <f>PO_IND!D32</f>
        <v>LIMPEZA PERMANENTE DA OBRA E TRANSPORTES INTERNOS</v>
      </c>
      <c r="C22" s="152" t="str">
        <f>PO_IND!E32</f>
        <v>MÊS</v>
      </c>
      <c r="D22" s="41"/>
      <c r="E22" s="41"/>
      <c r="F22" s="185"/>
      <c r="G22" s="140"/>
      <c r="H22" s="187"/>
      <c r="I22" s="182"/>
      <c r="J22" s="183"/>
      <c r="K22" s="187"/>
      <c r="L22" s="197"/>
      <c r="M22" s="187">
        <f>SUM(M23:M24)</f>
        <v>342.2</v>
      </c>
      <c r="N22" s="202">
        <f>+IF(A22&gt;0,SUM(H22:M22),0)</f>
        <v>342.2</v>
      </c>
    </row>
    <row r="23" spans="1:53" s="36" customFormat="1" ht="41.25" x14ac:dyDescent="0.35">
      <c r="A23" s="149"/>
      <c r="B23" s="41"/>
      <c r="C23" s="150"/>
      <c r="D23" s="37"/>
      <c r="E23" s="38"/>
      <c r="F23" s="184"/>
      <c r="G23" s="141"/>
      <c r="H23" s="184"/>
      <c r="I23" s="153" t="s">
        <v>116</v>
      </c>
      <c r="J23" s="39" t="str">
        <f>+VLOOKUP(I23,Insumos_MO!$B$8:$F$3741,2,0)</f>
        <v>H</v>
      </c>
      <c r="K23" s="184">
        <f>+VLOOKUP(I23,Insumos_MO!$B$8:$G$18183,5,0)</f>
        <v>17.11</v>
      </c>
      <c r="L23" s="198">
        <v>20</v>
      </c>
      <c r="M23" s="184">
        <f>+ROUND(K23*L23,2)</f>
        <v>342.2</v>
      </c>
      <c r="N23" s="20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36" customFormat="1" x14ac:dyDescent="0.35">
      <c r="A24" s="176"/>
      <c r="B24" s="177"/>
      <c r="C24" s="178"/>
      <c r="D24" s="179"/>
      <c r="E24" s="177"/>
      <c r="F24" s="186"/>
      <c r="G24" s="180"/>
      <c r="H24" s="186"/>
      <c r="I24" s="179"/>
      <c r="J24" s="177"/>
      <c r="K24" s="186"/>
      <c r="L24" s="200"/>
      <c r="M24" s="186"/>
      <c r="N24" s="20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ht="27.75" x14ac:dyDescent="0.35">
      <c r="A25" s="149" t="str">
        <f>PO_IND!A33</f>
        <v>1.2.3.2</v>
      </c>
      <c r="B25" s="539" t="str">
        <f>PO_IND!D33</f>
        <v>REMOÇÃO DE ENTULHOS - LOCAÇÃO DE CAÇAMBA 4M3</v>
      </c>
      <c r="C25" s="152" t="str">
        <f>PO_IND!E33</f>
        <v>UNID.</v>
      </c>
      <c r="D25" s="41"/>
      <c r="E25" s="41"/>
      <c r="F25" s="185"/>
      <c r="G25" s="140"/>
      <c r="H25" s="187">
        <f>SUM(H26:H26)</f>
        <v>280</v>
      </c>
      <c r="I25" s="182"/>
      <c r="J25" s="183"/>
      <c r="K25" s="187"/>
      <c r="L25" s="197"/>
      <c r="M25" s="187"/>
      <c r="N25" s="202">
        <f>+IF(A25&gt;0,SUM(H25:M25),0)</f>
        <v>280</v>
      </c>
    </row>
    <row r="26" spans="1:53" s="36" customFormat="1" ht="27" x14ac:dyDescent="0.35">
      <c r="A26" s="149"/>
      <c r="B26" s="41"/>
      <c r="C26" s="150"/>
      <c r="D26" s="37" t="s">
        <v>74</v>
      </c>
      <c r="E26" s="38" t="str">
        <f>+VLOOKUP(D26,Insumos_MAT!$B$8:$G$16489,2,0)</f>
        <v>UNID.</v>
      </c>
      <c r="F26" s="184">
        <f>+VLOOKUP(D26,Insumos_MAT!$B$8:$G$16489,6,0)</f>
        <v>280</v>
      </c>
      <c r="G26" s="141">
        <v>1</v>
      </c>
      <c r="H26" s="184">
        <f>F26*G26</f>
        <v>280</v>
      </c>
      <c r="I26" s="153"/>
      <c r="J26" s="39"/>
      <c r="K26" s="184"/>
      <c r="L26" s="198"/>
      <c r="M26" s="184"/>
      <c r="N26" s="20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36" customFormat="1" x14ac:dyDescent="0.35">
      <c r="A27" s="176"/>
      <c r="B27" s="177"/>
      <c r="C27" s="178"/>
      <c r="D27" s="179"/>
      <c r="E27" s="177"/>
      <c r="F27" s="186"/>
      <c r="G27" s="180"/>
      <c r="H27" s="186"/>
      <c r="I27" s="179"/>
      <c r="J27" s="177"/>
      <c r="K27" s="186"/>
      <c r="L27" s="200"/>
      <c r="M27" s="186"/>
      <c r="N27" s="20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ht="27.75" x14ac:dyDescent="0.35">
      <c r="A28" s="149" t="str">
        <f>PO_IND!A34</f>
        <v>1.2.3.3</v>
      </c>
      <c r="B28" s="539" t="str">
        <f>PO_IND!D34</f>
        <v>REMOÇÃO DE ENTULHOS - COLETA SELETIVA</v>
      </c>
      <c r="C28" s="152" t="str">
        <f>PO_IND!E34</f>
        <v>UNID.</v>
      </c>
      <c r="D28" s="41"/>
      <c r="E28" s="41"/>
      <c r="F28" s="185"/>
      <c r="G28" s="140"/>
      <c r="H28" s="187">
        <f>SUM(H29:H29)</f>
        <v>3500</v>
      </c>
      <c r="I28" s="182"/>
      <c r="J28" s="183"/>
      <c r="K28" s="187"/>
      <c r="L28" s="197"/>
      <c r="M28" s="187"/>
      <c r="N28" s="202">
        <f>+IF(A28&gt;0,SUM(H28:M28),0)</f>
        <v>3500</v>
      </c>
    </row>
    <row r="29" spans="1:53" s="36" customFormat="1" ht="27" x14ac:dyDescent="0.35">
      <c r="A29" s="149"/>
      <c r="B29" s="41"/>
      <c r="C29" s="150"/>
      <c r="D29" s="37" t="s">
        <v>945</v>
      </c>
      <c r="E29" s="38" t="str">
        <f>+VLOOKUP(D29,Insumos_MAT!$B$8:$G$16489,2,0)</f>
        <v>UNID.</v>
      </c>
      <c r="F29" s="184">
        <f>+VLOOKUP(D29,Insumos_MAT!$B$8:$G$16489,6,0)</f>
        <v>3500</v>
      </c>
      <c r="G29" s="141">
        <v>1</v>
      </c>
      <c r="H29" s="184">
        <f>F29*G29</f>
        <v>3500</v>
      </c>
      <c r="I29" s="153"/>
      <c r="J29" s="39"/>
      <c r="K29" s="184"/>
      <c r="L29" s="198"/>
      <c r="M29" s="184"/>
      <c r="N29" s="20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36" customFormat="1" x14ac:dyDescent="0.35">
      <c r="A30" s="176"/>
      <c r="B30" s="177"/>
      <c r="C30" s="178"/>
      <c r="D30" s="179"/>
      <c r="E30" s="177"/>
      <c r="F30" s="186"/>
      <c r="G30" s="180"/>
      <c r="H30" s="186"/>
      <c r="I30" s="179"/>
      <c r="J30" s="177"/>
      <c r="K30" s="186"/>
      <c r="L30" s="200"/>
      <c r="M30" s="186"/>
      <c r="N30" s="20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x14ac:dyDescent="0.35">
      <c r="A31" s="149" t="str">
        <f>PO_IND!A38</f>
        <v>1.2.4.3</v>
      </c>
      <c r="B31" s="41" t="str">
        <f>PO_IND!D38</f>
        <v>CONSUMO DE LÓGICA E TELEFONIA</v>
      </c>
      <c r="C31" s="150" t="str">
        <f>PO_IND!E38</f>
        <v>MÊS</v>
      </c>
      <c r="D31" s="151"/>
      <c r="E31" s="69"/>
      <c r="F31" s="185"/>
      <c r="G31" s="140"/>
      <c r="H31" s="187">
        <f>+SUM(H32)</f>
        <v>120</v>
      </c>
      <c r="I31" s="182"/>
      <c r="J31" s="183"/>
      <c r="K31" s="187"/>
      <c r="L31" s="197"/>
      <c r="M31" s="187"/>
      <c r="N31" s="202">
        <f>+IF(A31&gt;0,SUM(H31:M31),0)</f>
        <v>120</v>
      </c>
    </row>
    <row r="32" spans="1:53" ht="27" x14ac:dyDescent="0.35">
      <c r="A32" s="149"/>
      <c r="B32" s="41"/>
      <c r="C32" s="150"/>
      <c r="D32" s="37" t="s">
        <v>71</v>
      </c>
      <c r="E32" s="38" t="str">
        <f>+VLOOKUP(D32,Insumos_MAT!$B$8:$G$16489,2,0)</f>
        <v>MES</v>
      </c>
      <c r="F32" s="184">
        <f>+VLOOKUP(D32,Insumos_MAT!$B$8:$G$16489,6,0)</f>
        <v>120</v>
      </c>
      <c r="G32" s="141">
        <v>1</v>
      </c>
      <c r="H32" s="184">
        <f>F32*G32</f>
        <v>120</v>
      </c>
      <c r="I32" s="151"/>
      <c r="J32" s="69"/>
      <c r="K32" s="184"/>
      <c r="L32" s="198"/>
      <c r="M32" s="184"/>
      <c r="N32" s="203"/>
    </row>
    <row r="33" spans="1:53" x14ac:dyDescent="0.35">
      <c r="A33" s="154"/>
      <c r="B33" s="153"/>
      <c r="C33" s="155"/>
      <c r="D33" s="37"/>
      <c r="E33" s="37"/>
      <c r="F33" s="184"/>
      <c r="G33" s="141"/>
      <c r="H33" s="184"/>
      <c r="I33" s="151"/>
      <c r="J33" s="69"/>
      <c r="K33" s="184"/>
      <c r="L33" s="198"/>
      <c r="M33" s="184"/>
      <c r="N33" s="203"/>
    </row>
    <row r="34" spans="1:53" x14ac:dyDescent="0.35">
      <c r="A34" s="149" t="str">
        <f>PO_IND!A39</f>
        <v>1.2.4.4</v>
      </c>
      <c r="B34" s="41" t="str">
        <f>PO_IND!D39</f>
        <v>MATERIAL CONSUMO ESCRITÓRIO</v>
      </c>
      <c r="C34" s="190" t="str">
        <f>PO_IND!E39</f>
        <v>MÊS</v>
      </c>
      <c r="D34" s="151"/>
      <c r="E34" s="69"/>
      <c r="F34" s="185"/>
      <c r="G34" s="140"/>
      <c r="H34" s="187">
        <f>+SUM(H35)</f>
        <v>50</v>
      </c>
      <c r="I34" s="182"/>
      <c r="J34" s="183"/>
      <c r="K34" s="187"/>
      <c r="L34" s="197"/>
      <c r="M34" s="187"/>
      <c r="N34" s="202">
        <f>+IF(A34&gt;0,SUM(H34:M34),0)</f>
        <v>50</v>
      </c>
    </row>
    <row r="35" spans="1:53" ht="27" x14ac:dyDescent="0.35">
      <c r="A35" s="149"/>
      <c r="B35" s="41"/>
      <c r="C35" s="150"/>
      <c r="D35" s="37" t="s">
        <v>47</v>
      </c>
      <c r="E35" s="38" t="str">
        <f>+VLOOKUP(D35,Insumos_MAT!$B$8:$G$16489,2,0)</f>
        <v>MES</v>
      </c>
      <c r="F35" s="184">
        <f>+VLOOKUP(D35,Insumos_MAT!$B$8:$G$16489,6,0)</f>
        <v>50</v>
      </c>
      <c r="G35" s="141">
        <v>1</v>
      </c>
      <c r="H35" s="184">
        <f>F35*G35</f>
        <v>50</v>
      </c>
      <c r="I35" s="70"/>
      <c r="J35" s="40"/>
      <c r="K35" s="184"/>
      <c r="L35" s="198"/>
      <c r="M35" s="184"/>
      <c r="N35" s="203"/>
    </row>
    <row r="36" spans="1:53" x14ac:dyDescent="0.35">
      <c r="A36" s="149"/>
      <c r="B36" s="41"/>
      <c r="C36" s="150"/>
      <c r="D36" s="37"/>
      <c r="E36" s="37"/>
      <c r="F36" s="184"/>
      <c r="G36" s="141"/>
      <c r="H36" s="184"/>
      <c r="I36" s="70"/>
      <c r="J36" s="40"/>
      <c r="K36" s="184"/>
      <c r="L36" s="198"/>
      <c r="M36" s="184"/>
      <c r="N36" s="203"/>
      <c r="Q36" s="119"/>
    </row>
    <row r="37" spans="1:53" x14ac:dyDescent="0.35">
      <c r="A37" s="149" t="str">
        <f>PO_IND!A40</f>
        <v>1.2.4.5</v>
      </c>
      <c r="B37" s="41" t="str">
        <f>PO_IND!D40</f>
        <v>CÓPIAS DE PROJETOS</v>
      </c>
      <c r="C37" s="152" t="str">
        <f>PO_IND!E40</f>
        <v>MÊS</v>
      </c>
      <c r="D37" s="151"/>
      <c r="E37" s="69"/>
      <c r="F37" s="185"/>
      <c r="G37" s="140"/>
      <c r="H37" s="187">
        <f>+SUM(H38)</f>
        <v>80</v>
      </c>
      <c r="I37" s="182"/>
      <c r="J37" s="183"/>
      <c r="K37" s="187"/>
      <c r="L37" s="197"/>
      <c r="M37" s="187"/>
      <c r="N37" s="202">
        <f>+IF(A37&gt;0,SUM(H37:M37),0)</f>
        <v>80</v>
      </c>
    </row>
    <row r="38" spans="1:53" x14ac:dyDescent="0.35">
      <c r="A38" s="149"/>
      <c r="B38" s="41"/>
      <c r="C38" s="150"/>
      <c r="D38" s="37" t="s">
        <v>75</v>
      </c>
      <c r="E38" s="38" t="str">
        <f>+VLOOKUP(D38,Insumos_MAT!$B$8:$G$16489,2,0)</f>
        <v>MÊS</v>
      </c>
      <c r="F38" s="184">
        <f>+VLOOKUP(D38,Insumos_MAT!$B$8:$G$16489,6,0)</f>
        <v>80</v>
      </c>
      <c r="G38" s="141">
        <v>1</v>
      </c>
      <c r="H38" s="184">
        <f>F38*G38</f>
        <v>80</v>
      </c>
      <c r="I38" s="70"/>
      <c r="J38" s="40"/>
      <c r="K38" s="184"/>
      <c r="L38" s="198"/>
      <c r="M38" s="184"/>
      <c r="N38" s="203"/>
    </row>
    <row r="39" spans="1:53" x14ac:dyDescent="0.35">
      <c r="A39" s="149"/>
      <c r="B39" s="41"/>
      <c r="C39" s="150"/>
      <c r="D39" s="41"/>
      <c r="E39" s="41"/>
      <c r="F39" s="184"/>
      <c r="G39" s="141"/>
      <c r="H39" s="184"/>
      <c r="I39" s="70"/>
      <c r="J39" s="40"/>
      <c r="K39" s="184"/>
      <c r="L39" s="198"/>
      <c r="M39" s="184"/>
      <c r="N39" s="203"/>
    </row>
    <row r="40" spans="1:53" x14ac:dyDescent="0.35">
      <c r="A40" s="149" t="str">
        <f>PO_IND!A45</f>
        <v>1.2.5.1</v>
      </c>
      <c r="B40" s="539" t="str">
        <f>PO_IND!D45</f>
        <v>MEDICAMENTOS</v>
      </c>
      <c r="C40" s="152" t="str">
        <f>PO_IND!E45</f>
        <v>MÊS</v>
      </c>
      <c r="D40" s="41"/>
      <c r="E40" s="41"/>
      <c r="F40" s="185"/>
      <c r="G40" s="140"/>
      <c r="H40" s="187">
        <f>+SUM(H41)</f>
        <v>20</v>
      </c>
      <c r="I40" s="182"/>
      <c r="J40" s="183"/>
      <c r="K40" s="187"/>
      <c r="L40" s="197"/>
      <c r="M40" s="187"/>
      <c r="N40" s="202">
        <f>+IF(A40&gt;0,SUM(H40:M40),0)</f>
        <v>20</v>
      </c>
    </row>
    <row r="41" spans="1:53" s="36" customFormat="1" x14ac:dyDescent="0.35">
      <c r="A41" s="149"/>
      <c r="B41" s="41"/>
      <c r="C41" s="150"/>
      <c r="D41" s="37" t="s">
        <v>76</v>
      </c>
      <c r="E41" s="38" t="str">
        <f>+VLOOKUP(D41,Insumos_MAT!$B$8:$G$16489,2,0)</f>
        <v>MÊS</v>
      </c>
      <c r="F41" s="184">
        <f>+VLOOKUP(D41,Insumos_MAT!$B$8:$G$16489,6,0)</f>
        <v>20</v>
      </c>
      <c r="G41" s="141">
        <v>1</v>
      </c>
      <c r="H41" s="184">
        <f>F41*G41</f>
        <v>20</v>
      </c>
      <c r="I41" s="70"/>
      <c r="J41" s="40"/>
      <c r="K41" s="184"/>
      <c r="L41" s="198"/>
      <c r="M41" s="184"/>
      <c r="N41" s="20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36" customFormat="1" x14ac:dyDescent="0.35">
      <c r="A42" s="176"/>
      <c r="B42" s="177"/>
      <c r="C42" s="178"/>
      <c r="D42" s="179"/>
      <c r="E42" s="177"/>
      <c r="F42" s="186"/>
      <c r="G42" s="180"/>
      <c r="H42" s="186"/>
      <c r="I42" s="179"/>
      <c r="J42" s="177"/>
      <c r="K42" s="186"/>
      <c r="L42" s="200"/>
      <c r="M42" s="186"/>
      <c r="N42" s="20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x14ac:dyDescent="0.35">
      <c r="A43" s="149" t="str">
        <f>PO_IND!A46</f>
        <v>1.2.5.2</v>
      </c>
      <c r="B43" s="539" t="str">
        <f>PO_IND!D46</f>
        <v>CÓPIAS DE DOCUMENTOS</v>
      </c>
      <c r="C43" s="152" t="str">
        <f>PO_IND!E46</f>
        <v>MÊS</v>
      </c>
      <c r="D43" s="41"/>
      <c r="E43" s="41"/>
      <c r="F43" s="185"/>
      <c r="G43" s="140"/>
      <c r="H43" s="187">
        <f>+SUM(H44)</f>
        <v>25</v>
      </c>
      <c r="I43" s="182"/>
      <c r="J43" s="183"/>
      <c r="K43" s="187"/>
      <c r="L43" s="197"/>
      <c r="M43" s="187"/>
      <c r="N43" s="202">
        <f>+IF(A43&gt;0,SUM(H43:M43),0)</f>
        <v>25</v>
      </c>
    </row>
    <row r="44" spans="1:53" s="36" customFormat="1" ht="27" x14ac:dyDescent="0.35">
      <c r="A44" s="149"/>
      <c r="B44" s="41"/>
      <c r="C44" s="150"/>
      <c r="D44" s="37" t="s">
        <v>88</v>
      </c>
      <c r="E44" s="38" t="str">
        <f>+VLOOKUP(D44,Insumos_MAT!$B$8:$G$16489,2,0)</f>
        <v>MÊS</v>
      </c>
      <c r="F44" s="184">
        <f>+VLOOKUP(D44,Insumos_MAT!$B$8:$G$16489,6,0)</f>
        <v>25</v>
      </c>
      <c r="G44" s="141">
        <v>1</v>
      </c>
      <c r="H44" s="184">
        <f>F44*G44</f>
        <v>25</v>
      </c>
      <c r="I44" s="70"/>
      <c r="J44" s="40"/>
      <c r="K44" s="184"/>
      <c r="L44" s="198"/>
      <c r="M44" s="184"/>
      <c r="N44" s="20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36" customFormat="1" x14ac:dyDescent="0.35">
      <c r="A45" s="176"/>
      <c r="B45" s="177"/>
      <c r="C45" s="178"/>
      <c r="D45" s="179"/>
      <c r="E45" s="177"/>
      <c r="F45" s="186"/>
      <c r="G45" s="180"/>
      <c r="H45" s="186"/>
      <c r="I45" s="179"/>
      <c r="J45" s="177"/>
      <c r="K45" s="186"/>
      <c r="L45" s="200"/>
      <c r="M45" s="186"/>
      <c r="N45" s="20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ht="27" customHeight="1" x14ac:dyDescent="0.35">
      <c r="A46" s="149" t="str">
        <f>PO_IND!A48</f>
        <v>1.2.5.4</v>
      </c>
      <c r="B46" s="539" t="str">
        <f>PO_IND!D48</f>
        <v>PLACA DE SINALIZAÇÃO E SEGURANÇA</v>
      </c>
      <c r="C46" s="152" t="str">
        <f>PO_IND!E48</f>
        <v>UNID.</v>
      </c>
      <c r="D46" s="41"/>
      <c r="E46" s="41"/>
      <c r="F46" s="185"/>
      <c r="G46" s="140"/>
      <c r="H46" s="187">
        <f>+SUM(H47)</f>
        <v>18.420000000000002</v>
      </c>
      <c r="I46" s="182"/>
      <c r="J46" s="183"/>
      <c r="K46" s="187"/>
      <c r="L46" s="197"/>
      <c r="M46" s="187">
        <f>SUM(M47)</f>
        <v>0.86</v>
      </c>
      <c r="N46" s="202">
        <f>+IF(A46&gt;0,SUM(H46:M46),0)</f>
        <v>19.28</v>
      </c>
    </row>
    <row r="47" spans="1:53" s="36" customFormat="1" ht="29.25" customHeight="1" x14ac:dyDescent="0.35">
      <c r="A47" s="149"/>
      <c r="B47" s="41"/>
      <c r="C47" s="150"/>
      <c r="D47" s="37" t="s">
        <v>77</v>
      </c>
      <c r="E47" s="38" t="str">
        <f>+VLOOKUP(D47,Insumos_MAT!$B$8:$G$16489,2,0)</f>
        <v>UNID.</v>
      </c>
      <c r="F47" s="184">
        <f>+VLOOKUP(D47,Insumos_MAT!$B$8:$G$16489,6,0)</f>
        <v>18.420000000000002</v>
      </c>
      <c r="G47" s="141">
        <v>1</v>
      </c>
      <c r="H47" s="184">
        <f>F47*G47</f>
        <v>18.420000000000002</v>
      </c>
      <c r="I47" s="70" t="s">
        <v>116</v>
      </c>
      <c r="J47" s="39" t="str">
        <f>+VLOOKUP(I47,Insumos_MO!$B$8:$F$3741,2,0)</f>
        <v>H</v>
      </c>
      <c r="K47" s="184">
        <f>+VLOOKUP(I47,Insumos_MO!$B$8:$G$18183,5,0)</f>
        <v>17.11</v>
      </c>
      <c r="L47" s="198">
        <v>0.05</v>
      </c>
      <c r="M47" s="184">
        <f>+ROUND(K47*L47,2)</f>
        <v>0.86</v>
      </c>
      <c r="N47" s="206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36" customFormat="1" x14ac:dyDescent="0.35">
      <c r="A48" s="176"/>
      <c r="B48" s="177"/>
      <c r="C48" s="178"/>
      <c r="D48" s="179"/>
      <c r="E48" s="177"/>
      <c r="F48" s="186"/>
      <c r="G48" s="180"/>
      <c r="H48" s="186"/>
      <c r="I48" s="179"/>
      <c r="J48" s="177"/>
      <c r="K48" s="186"/>
      <c r="L48" s="200"/>
      <c r="M48" s="186"/>
      <c r="N48" s="20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x14ac:dyDescent="0.35">
      <c r="A49" s="149" t="str">
        <f>PO_IND!A54</f>
        <v>1.2.6.5</v>
      </c>
      <c r="B49" s="539" t="str">
        <f>PO_IND!D54</f>
        <v>ASBUILT</v>
      </c>
      <c r="C49" s="152" t="str">
        <f>PO_IND!E54</f>
        <v>UNID.</v>
      </c>
      <c r="D49" s="41"/>
      <c r="E49" s="41"/>
      <c r="F49" s="185"/>
      <c r="G49" s="140"/>
      <c r="H49" s="187"/>
      <c r="I49" s="182"/>
      <c r="J49" s="183"/>
      <c r="K49" s="187"/>
      <c r="L49" s="197"/>
      <c r="M49" s="187">
        <f>SUM(M50)</f>
        <v>1620.6</v>
      </c>
      <c r="N49" s="202">
        <f>+IF(A49&gt;0,SUM(H49:M49),0)</f>
        <v>1620.6</v>
      </c>
    </row>
    <row r="50" spans="1:53" s="36" customFormat="1" ht="54.75" x14ac:dyDescent="0.35">
      <c r="A50" s="149"/>
      <c r="B50" s="41"/>
      <c r="C50" s="150"/>
      <c r="D50" s="37"/>
      <c r="E50" s="38"/>
      <c r="F50" s="184"/>
      <c r="G50" s="141"/>
      <c r="H50" s="184"/>
      <c r="I50" s="70" t="s">
        <v>384</v>
      </c>
      <c r="J50" s="39" t="str">
        <f>+VLOOKUP(I50,Insumos_MO!$B$8:$F$3741,2,0)</f>
        <v>H</v>
      </c>
      <c r="K50" s="184">
        <f>+VLOOKUP(I50,Insumos_MO!$B$8:$G$18183,5,0)</f>
        <v>27.01</v>
      </c>
      <c r="L50" s="198">
        <v>60</v>
      </c>
      <c r="M50" s="184">
        <f>+ROUND(K50*L50,2)</f>
        <v>1620.6</v>
      </c>
      <c r="N50" s="20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36" customFormat="1" x14ac:dyDescent="0.35">
      <c r="A51" s="176"/>
      <c r="B51" s="177"/>
      <c r="C51" s="178"/>
      <c r="D51" s="179"/>
      <c r="E51" s="177"/>
      <c r="F51" s="186"/>
      <c r="G51" s="180"/>
      <c r="H51" s="186"/>
      <c r="I51" s="179"/>
      <c r="J51" s="177"/>
      <c r="K51" s="186"/>
      <c r="L51" s="200"/>
      <c r="M51" s="186"/>
      <c r="N51" s="20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x14ac:dyDescent="0.35">
      <c r="A52" s="149" t="str">
        <f>PO_IND!A57</f>
        <v>1.2.7.2</v>
      </c>
      <c r="B52" s="41" t="str">
        <f>PO_IND!D57</f>
        <v>SEGURO RESPONSABILIDADE CIVIL</v>
      </c>
      <c r="C52" s="152" t="str">
        <f>PO_IND!E57</f>
        <v>UNID.</v>
      </c>
      <c r="D52" s="41"/>
      <c r="E52" s="181"/>
      <c r="F52" s="185"/>
      <c r="G52" s="140"/>
      <c r="H52" s="187">
        <f>SUM(H53)</f>
        <v>1148.8806299999999</v>
      </c>
      <c r="I52" s="182"/>
      <c r="J52" s="183"/>
      <c r="K52" s="187"/>
      <c r="L52" s="197"/>
      <c r="M52" s="187"/>
      <c r="N52" s="202">
        <f>+IF(A52&gt;0,SUM(H52:M52),0)</f>
        <v>1148.8806299999999</v>
      </c>
    </row>
    <row r="53" spans="1:53" s="78" customFormat="1" ht="22.5" x14ac:dyDescent="0.35">
      <c r="A53" s="154"/>
      <c r="B53" s="153"/>
      <c r="C53" s="155"/>
      <c r="D53" s="192" t="s">
        <v>110</v>
      </c>
      <c r="E53" s="38" t="str">
        <f>+VLOOKUP(D53,Insumos_MAT!$B$8:$G$16489,2,0)</f>
        <v>UNID.</v>
      </c>
      <c r="F53" s="184">
        <f>+VLOOKUP(D53,Insumos_MAT!$B$8:$G$16489,6,0)</f>
        <v>1148.8806299999999</v>
      </c>
      <c r="G53" s="141">
        <v>1</v>
      </c>
      <c r="H53" s="184">
        <f>F53*G53</f>
        <v>1148.8806299999999</v>
      </c>
      <c r="I53" s="153"/>
      <c r="J53" s="39"/>
      <c r="K53" s="184"/>
      <c r="L53" s="198"/>
      <c r="M53" s="184"/>
      <c r="N53" s="206"/>
    </row>
    <row r="54" spans="1:53" s="78" customFormat="1" x14ac:dyDescent="0.35">
      <c r="A54" s="154"/>
      <c r="B54" s="153"/>
      <c r="C54" s="155"/>
      <c r="D54" s="192"/>
      <c r="E54" s="38"/>
      <c r="F54" s="184"/>
      <c r="G54" s="141"/>
      <c r="H54" s="184"/>
      <c r="I54" s="153"/>
      <c r="J54" s="39"/>
      <c r="K54" s="184"/>
      <c r="L54" s="198"/>
      <c r="M54" s="184"/>
      <c r="N54" s="206"/>
    </row>
    <row r="55" spans="1:53" s="78" customFormat="1" ht="41.25" x14ac:dyDescent="0.35">
      <c r="A55" s="507" t="str">
        <f>PO_CPE!A16</f>
        <v>2.1.5</v>
      </c>
      <c r="B55" s="539" t="str">
        <f>PO_CPE!D16</f>
        <v>REMOÇÃO DE TAMPO E ACESSÓRIOS, DE FORMA MANUAL, SEM REAPROVEITAMENTO</v>
      </c>
      <c r="C55" s="411" t="str">
        <f>PO_CPE!E16</f>
        <v>UNID.</v>
      </c>
      <c r="D55" s="191"/>
      <c r="E55" s="189"/>
      <c r="F55" s="185"/>
      <c r="G55" s="140"/>
      <c r="H55" s="187"/>
      <c r="I55" s="153"/>
      <c r="J55" s="183"/>
      <c r="K55" s="187"/>
      <c r="L55" s="197"/>
      <c r="M55" s="187">
        <f>SUM(M56:M56)</f>
        <v>25.67</v>
      </c>
      <c r="N55" s="202">
        <f>M55+H55</f>
        <v>25.67</v>
      </c>
    </row>
    <row r="56" spans="1:53" ht="41.25" x14ac:dyDescent="0.35">
      <c r="A56" s="154"/>
      <c r="B56" s="153"/>
      <c r="C56" s="155"/>
      <c r="D56" s="192"/>
      <c r="E56" s="38"/>
      <c r="F56" s="184"/>
      <c r="G56" s="141"/>
      <c r="H56" s="184"/>
      <c r="I56" s="153" t="s">
        <v>116</v>
      </c>
      <c r="J56" s="39" t="str">
        <f>+VLOOKUP(I56,Insumos_MO!$B$8:$F$3741,2,0)</f>
        <v>H</v>
      </c>
      <c r="K56" s="184">
        <f>+VLOOKUP(I56,Insumos_MO!$B$8:$G$18183,5,0)</f>
        <v>17.11</v>
      </c>
      <c r="L56" s="198">
        <v>1.5</v>
      </c>
      <c r="M56" s="184">
        <f>+ROUND(K56*L56,2)</f>
        <v>25.67</v>
      </c>
      <c r="N56" s="206"/>
    </row>
    <row r="57" spans="1:53" x14ac:dyDescent="0.35">
      <c r="A57" s="154"/>
      <c r="B57" s="153"/>
      <c r="C57" s="155"/>
      <c r="D57" s="192"/>
      <c r="E57" s="38"/>
      <c r="F57" s="184"/>
      <c r="G57" s="141"/>
      <c r="H57" s="184"/>
      <c r="I57" s="37"/>
      <c r="J57" s="39"/>
      <c r="K57" s="184"/>
      <c r="L57" s="198"/>
      <c r="M57" s="184"/>
      <c r="N57" s="206"/>
    </row>
    <row r="58" spans="1:53" s="78" customFormat="1" ht="41.25" x14ac:dyDescent="0.35">
      <c r="A58" s="507" t="str">
        <f>PO_CPE!A18</f>
        <v>2.1.7</v>
      </c>
      <c r="B58" s="539" t="str">
        <f>PO_CPE!D18</f>
        <v>REMOÇÃO DE ARMÁRIO BAIXO, DE FORMA MANUAL, SEM REAPROVEIRAMENTO</v>
      </c>
      <c r="C58" s="411" t="str">
        <f>PO_CPE!E18</f>
        <v>UNID.</v>
      </c>
      <c r="D58" s="191"/>
      <c r="E58" s="189"/>
      <c r="F58" s="185"/>
      <c r="G58" s="140"/>
      <c r="H58" s="187"/>
      <c r="I58" s="153"/>
      <c r="J58" s="183"/>
      <c r="K58" s="187"/>
      <c r="L58" s="197"/>
      <c r="M58" s="187">
        <f>SUM(M59:M59)</f>
        <v>25.67</v>
      </c>
      <c r="N58" s="202">
        <f>M58+H58</f>
        <v>25.67</v>
      </c>
    </row>
    <row r="59" spans="1:53" ht="41.25" x14ac:dyDescent="0.35">
      <c r="A59" s="154"/>
      <c r="B59" s="153"/>
      <c r="C59" s="155"/>
      <c r="D59" s="192"/>
      <c r="E59" s="38"/>
      <c r="F59" s="184"/>
      <c r="G59" s="141"/>
      <c r="H59" s="184"/>
      <c r="I59" s="153" t="s">
        <v>116</v>
      </c>
      <c r="J59" s="39" t="str">
        <f>+VLOOKUP(I59,Insumos_MO!$B$8:$F$3741,2,0)</f>
        <v>H</v>
      </c>
      <c r="K59" s="184">
        <f>+VLOOKUP(I59,Insumos_MO!$B$8:$G$18183,5,0)</f>
        <v>17.11</v>
      </c>
      <c r="L59" s="198">
        <v>1.5</v>
      </c>
      <c r="M59" s="184">
        <f>+ROUND(K59*L59,2)</f>
        <v>25.67</v>
      </c>
      <c r="N59" s="206"/>
    </row>
    <row r="60" spans="1:53" x14ac:dyDescent="0.35">
      <c r="A60" s="154"/>
      <c r="B60" s="153"/>
      <c r="C60" s="155"/>
      <c r="D60" s="192"/>
      <c r="E60" s="38"/>
      <c r="F60" s="184"/>
      <c r="G60" s="141"/>
      <c r="H60" s="184"/>
      <c r="I60" s="37"/>
      <c r="J60" s="39"/>
      <c r="K60" s="184"/>
      <c r="L60" s="198"/>
      <c r="M60" s="184"/>
      <c r="N60" s="206"/>
    </row>
    <row r="61" spans="1:53" s="78" customFormat="1" ht="34.5" customHeight="1" x14ac:dyDescent="0.35">
      <c r="A61" s="507" t="str">
        <f>PO_CPE!A19</f>
        <v>2.1.8</v>
      </c>
      <c r="B61" s="539" t="str">
        <f>PO_CPE!D19</f>
        <v>DESLOCAMENTO E ARMAZENAMENTO DE EQUIPAMENTOS E MOBILIÁRIOS EXISTENTES</v>
      </c>
      <c r="C61" s="411" t="str">
        <f>PO_CPE!E19</f>
        <v>UNID.</v>
      </c>
      <c r="D61" s="191"/>
      <c r="E61" s="189"/>
      <c r="F61" s="185"/>
      <c r="G61" s="140"/>
      <c r="H61" s="187">
        <f>SUM(H62:H62)</f>
        <v>355</v>
      </c>
      <c r="I61" s="153"/>
      <c r="J61" s="183"/>
      <c r="K61" s="187"/>
      <c r="L61" s="197"/>
      <c r="M61" s="187">
        <f>SUM(M62:M62)</f>
        <v>1368.8</v>
      </c>
      <c r="N61" s="202">
        <f>M61+H61</f>
        <v>1723.8</v>
      </c>
    </row>
    <row r="62" spans="1:53" ht="41.25" x14ac:dyDescent="0.35">
      <c r="A62" s="154"/>
      <c r="B62" s="153"/>
      <c r="C62" s="155"/>
      <c r="D62" s="192" t="s">
        <v>438</v>
      </c>
      <c r="E62" s="38" t="str">
        <f>+VLOOKUP(D62,Insumos_MAT!$B$8:$G$16489,2,0)</f>
        <v>M2</v>
      </c>
      <c r="F62" s="184">
        <f>+VLOOKUP(D62,Insumos_MAT!$B$8:$G$16489,6,0)</f>
        <v>1.42</v>
      </c>
      <c r="G62" s="141">
        <v>250</v>
      </c>
      <c r="H62" s="184">
        <f>G62*F62</f>
        <v>355</v>
      </c>
      <c r="I62" s="153" t="s">
        <v>116</v>
      </c>
      <c r="J62" s="39" t="str">
        <f>+VLOOKUP(I62,Insumos_MO!$B$8:$F$3741,2,0)</f>
        <v>H</v>
      </c>
      <c r="K62" s="184">
        <f>+VLOOKUP(I62,Insumos_MO!$B$8:$G$18183,5,0)</f>
        <v>17.11</v>
      </c>
      <c r="L62" s="198">
        <v>80</v>
      </c>
      <c r="M62" s="184">
        <f>+ROUND(K62*L62,2)</f>
        <v>1368.8</v>
      </c>
      <c r="N62" s="206"/>
    </row>
    <row r="63" spans="1:53" x14ac:dyDescent="0.35">
      <c r="A63" s="154"/>
      <c r="B63" s="153"/>
      <c r="C63" s="155"/>
      <c r="D63" s="192"/>
      <c r="E63" s="38"/>
      <c r="F63" s="184"/>
      <c r="G63" s="141"/>
      <c r="H63" s="184"/>
      <c r="I63" s="37"/>
      <c r="J63" s="39"/>
      <c r="K63" s="184"/>
      <c r="L63" s="198"/>
      <c r="M63" s="184"/>
      <c r="N63" s="206"/>
    </row>
    <row r="64" spans="1:53" s="78" customFormat="1" ht="34.5" customHeight="1" x14ac:dyDescent="0.35">
      <c r="A64" s="507" t="str">
        <f>PO_CPE!A28</f>
        <v>2.4.4</v>
      </c>
      <c r="B64" s="539" t="str">
        <f>PO_CPE!D28</f>
        <v>DIVISÓRIA LEVE, FORNECIMENTO E INSTALAÇÃO</v>
      </c>
      <c r="C64" s="411" t="str">
        <f>PO_CPE!E28</f>
        <v>M2</v>
      </c>
      <c r="D64" s="191"/>
      <c r="E64" s="189"/>
      <c r="F64" s="185"/>
      <c r="G64" s="140"/>
      <c r="H64" s="187">
        <f>SUM(H65:H65)</f>
        <v>69.8</v>
      </c>
      <c r="I64" s="153"/>
      <c r="J64" s="183"/>
      <c r="K64" s="187"/>
      <c r="L64" s="197"/>
      <c r="M64" s="187"/>
      <c r="N64" s="202">
        <f>M64+H64</f>
        <v>69.8</v>
      </c>
    </row>
    <row r="65" spans="1:14" ht="33.75" x14ac:dyDescent="0.35">
      <c r="A65" s="154"/>
      <c r="B65" s="153"/>
      <c r="C65" s="155"/>
      <c r="D65" s="192" t="str">
        <f>B64</f>
        <v>DIVISÓRIA LEVE, FORNECIMENTO E INSTALAÇÃO</v>
      </c>
      <c r="E65" s="38" t="str">
        <f>+VLOOKUP(D65,Insumos_MAT!$B$8:$G$16489,2,0)</f>
        <v>M2</v>
      </c>
      <c r="F65" s="184">
        <f>+VLOOKUP(D65,Insumos_MAT!$B$8:$G$16489,6,0)</f>
        <v>69.8</v>
      </c>
      <c r="G65" s="141">
        <v>1</v>
      </c>
      <c r="H65" s="184">
        <f>G65*F65</f>
        <v>69.8</v>
      </c>
      <c r="I65" s="153"/>
      <c r="J65" s="39"/>
      <c r="K65" s="184"/>
      <c r="L65" s="198"/>
      <c r="M65" s="184"/>
      <c r="N65" s="206"/>
    </row>
    <row r="66" spans="1:14" x14ac:dyDescent="0.35">
      <c r="A66" s="154"/>
      <c r="B66" s="153"/>
      <c r="C66" s="155"/>
      <c r="D66" s="192"/>
      <c r="E66" s="38"/>
      <c r="F66" s="184"/>
      <c r="G66" s="141"/>
      <c r="H66" s="184"/>
      <c r="I66" s="37"/>
      <c r="J66" s="39"/>
      <c r="K66" s="184"/>
      <c r="L66" s="198"/>
      <c r="M66" s="184"/>
      <c r="N66" s="206"/>
    </row>
    <row r="67" spans="1:14" s="78" customFormat="1" ht="93" customHeight="1" x14ac:dyDescent="0.35">
      <c r="A67" s="507" t="str">
        <f>PO_CPE!A34</f>
        <v>2.5.2.1</v>
      </c>
      <c r="B67" s="539" t="str">
        <f>PO_CPE!D34</f>
        <v>PM01 80X210CM - PORTA MADEIRA SEMI-OCA, REVESTIMENTO MELAMÍNICO BRANCO TEXTURIZADO, INCLUINDO DOBRADIÇAS, GUARNIÇÃO MADEIRA MACIÇA, MARCO METÁLICO E ABERTURA PARA VISOR</v>
      </c>
      <c r="C67" s="411" t="str">
        <f>PO_CPE!E34</f>
        <v>UNID.</v>
      </c>
      <c r="D67" s="191"/>
      <c r="E67" s="189"/>
      <c r="F67" s="185"/>
      <c r="G67" s="140"/>
      <c r="H67" s="187">
        <f>SUM(H68:H69)</f>
        <v>1316.01</v>
      </c>
      <c r="I67" s="153"/>
      <c r="J67" s="183"/>
      <c r="K67" s="187"/>
      <c r="L67" s="197"/>
      <c r="M67" s="187">
        <f>SUM(M68:M69)</f>
        <v>141.36000000000001</v>
      </c>
      <c r="N67" s="202">
        <f>M67+H67</f>
        <v>1457.37</v>
      </c>
    </row>
    <row r="68" spans="1:14" ht="104.25" customHeight="1" x14ac:dyDescent="0.35">
      <c r="A68" s="154"/>
      <c r="B68" s="153"/>
      <c r="C68" s="155"/>
      <c r="D68" s="192" t="s">
        <v>734</v>
      </c>
      <c r="E68" s="38" t="str">
        <f>+VLOOKUP(D68,Insumos_MAT!$B$8:$G$16489,2,0)</f>
        <v>UNID.</v>
      </c>
      <c r="F68" s="184">
        <f>+VLOOKUP(D68,Insumos_MAT!$B$8:$G$16489,6,0)</f>
        <v>1290</v>
      </c>
      <c r="G68" s="141">
        <v>1</v>
      </c>
      <c r="H68" s="184">
        <f>G68*F68</f>
        <v>1290</v>
      </c>
      <c r="I68" s="153" t="s">
        <v>735</v>
      </c>
      <c r="J68" s="39" t="str">
        <f>+VLOOKUP(I68,Insumos_MO!$B$8:$F$3741,2,0)</f>
        <v>H</v>
      </c>
      <c r="K68" s="184">
        <f>+VLOOKUP(I68,Insumos_MO!$B$8:$G$18183,5,0)</f>
        <v>18.23</v>
      </c>
      <c r="L68" s="198">
        <v>4</v>
      </c>
      <c r="M68" s="184">
        <f>+ROUND(K68*L68,2)</f>
        <v>72.92</v>
      </c>
      <c r="N68" s="206"/>
    </row>
    <row r="69" spans="1:14" ht="41.25" x14ac:dyDescent="0.35">
      <c r="A69" s="154"/>
      <c r="B69" s="153"/>
      <c r="C69" s="155"/>
      <c r="D69" s="192" t="s">
        <v>737</v>
      </c>
      <c r="E69" s="38" t="str">
        <f>+VLOOKUP(D69,Insumos_MAT!$B$8:$G$16489,2,0)</f>
        <v>UNID.</v>
      </c>
      <c r="F69" s="184">
        <f>+VLOOKUP(D69,Insumos_MAT!$B$8:$G$16489,6,0)</f>
        <v>26.01</v>
      </c>
      <c r="G69" s="141">
        <v>1</v>
      </c>
      <c r="H69" s="184">
        <f>G69*F69</f>
        <v>26.01</v>
      </c>
      <c r="I69" s="153" t="s">
        <v>116</v>
      </c>
      <c r="J69" s="39" t="str">
        <f>+VLOOKUP(I69,Insumos_MO!$B$8:$F$3741,2,0)</f>
        <v>H</v>
      </c>
      <c r="K69" s="184">
        <f>+VLOOKUP(I69,Insumos_MO!$B$8:$G$18183,5,0)</f>
        <v>17.11</v>
      </c>
      <c r="L69" s="198">
        <v>4</v>
      </c>
      <c r="M69" s="184">
        <f>+ROUND(K69*L69,2)</f>
        <v>68.44</v>
      </c>
      <c r="N69" s="206"/>
    </row>
    <row r="70" spans="1:14" x14ac:dyDescent="0.35">
      <c r="A70" s="154"/>
      <c r="B70" s="153"/>
      <c r="C70" s="155"/>
      <c r="D70" s="192"/>
      <c r="E70" s="38"/>
      <c r="F70" s="184"/>
      <c r="G70" s="141"/>
      <c r="H70" s="184"/>
      <c r="I70" s="37"/>
      <c r="J70" s="39"/>
      <c r="K70" s="184"/>
      <c r="L70" s="198"/>
      <c r="M70" s="184"/>
      <c r="N70" s="206"/>
    </row>
    <row r="71" spans="1:14" s="78" customFormat="1" ht="92.25" customHeight="1" x14ac:dyDescent="0.35">
      <c r="A71" s="507" t="str">
        <f>PO_CPE!A35</f>
        <v>2.5.2.2</v>
      </c>
      <c r="B71" s="539" t="str">
        <f>PO_CPE!D35</f>
        <v>PM02 100X210CM - PORTA MADEIRA SEMI-OCA, REVESTIMENTO MELAMÍNICO BRANCO TEXTURIZADO, INCLUINDO DOBRADIÇAS, GUARNIÇÃO MADEIRA MACIÇA, MARCO METÁLICO E ABERTURA PARA VISOR</v>
      </c>
      <c r="C71" s="411" t="str">
        <f>PO_CPE!E35</f>
        <v>UNID.</v>
      </c>
      <c r="D71" s="191"/>
      <c r="E71" s="189"/>
      <c r="F71" s="185"/>
      <c r="G71" s="140"/>
      <c r="H71" s="187">
        <f>SUM(H72:H73)</f>
        <v>1416.01</v>
      </c>
      <c r="I71" s="153"/>
      <c r="J71" s="183"/>
      <c r="K71" s="187"/>
      <c r="L71" s="197"/>
      <c r="M71" s="187">
        <f>SUM(M72:M73)</f>
        <v>141.36000000000001</v>
      </c>
      <c r="N71" s="202">
        <f>M71+H71</f>
        <v>1557.37</v>
      </c>
    </row>
    <row r="72" spans="1:14" ht="95.25" customHeight="1" x14ac:dyDescent="0.35">
      <c r="A72" s="154"/>
      <c r="B72" s="153"/>
      <c r="C72" s="155"/>
      <c r="D72" s="192" t="s">
        <v>888</v>
      </c>
      <c r="E72" s="38" t="str">
        <f>+VLOOKUP(D72,Insumos_MAT!$B$8:$G$16489,2,0)</f>
        <v>UNID.</v>
      </c>
      <c r="F72" s="184">
        <f>+VLOOKUP(D72,Insumos_MAT!$B$8:$G$16489,6,0)</f>
        <v>1390</v>
      </c>
      <c r="G72" s="141">
        <v>1</v>
      </c>
      <c r="H72" s="184">
        <f>G72*F72</f>
        <v>1390</v>
      </c>
      <c r="I72" s="153" t="s">
        <v>735</v>
      </c>
      <c r="J72" s="39" t="str">
        <f>+VLOOKUP(I72,Insumos_MO!$B$8:$F$3741,2,0)</f>
        <v>H</v>
      </c>
      <c r="K72" s="184">
        <f>+VLOOKUP(I72,Insumos_MO!$B$8:$G$18183,5,0)</f>
        <v>18.23</v>
      </c>
      <c r="L72" s="198">
        <v>4</v>
      </c>
      <c r="M72" s="184">
        <f>+ROUND(K72*L72,2)</f>
        <v>72.92</v>
      </c>
      <c r="N72" s="206"/>
    </row>
    <row r="73" spans="1:14" ht="41.25" x14ac:dyDescent="0.35">
      <c r="A73" s="154"/>
      <c r="B73" s="153"/>
      <c r="C73" s="155"/>
      <c r="D73" s="192" t="s">
        <v>737</v>
      </c>
      <c r="E73" s="38" t="str">
        <f>+VLOOKUP(D73,Insumos_MAT!$B$8:$G$16489,2,0)</f>
        <v>UNID.</v>
      </c>
      <c r="F73" s="184">
        <f>+VLOOKUP(D73,Insumos_MAT!$B$8:$G$16489,6,0)</f>
        <v>26.01</v>
      </c>
      <c r="G73" s="141">
        <v>1</v>
      </c>
      <c r="H73" s="184">
        <f>G73*F73</f>
        <v>26.01</v>
      </c>
      <c r="I73" s="153" t="s">
        <v>116</v>
      </c>
      <c r="J73" s="39" t="str">
        <f>+VLOOKUP(I73,Insumos_MO!$B$8:$F$3741,2,0)</f>
        <v>H</v>
      </c>
      <c r="K73" s="184">
        <f>+VLOOKUP(I73,Insumos_MO!$B$8:$G$18183,5,0)</f>
        <v>17.11</v>
      </c>
      <c r="L73" s="198">
        <v>4</v>
      </c>
      <c r="M73" s="184">
        <f>+ROUND(K73*L73,2)</f>
        <v>68.44</v>
      </c>
      <c r="N73" s="206"/>
    </row>
    <row r="74" spans="1:14" x14ac:dyDescent="0.35">
      <c r="A74" s="154"/>
      <c r="B74" s="153"/>
      <c r="C74" s="155"/>
      <c r="D74" s="192"/>
      <c r="E74" s="38"/>
      <c r="F74" s="184"/>
      <c r="G74" s="141"/>
      <c r="H74" s="184"/>
      <c r="I74" s="37"/>
      <c r="J74" s="39"/>
      <c r="K74" s="184"/>
      <c r="L74" s="198"/>
      <c r="M74" s="184"/>
      <c r="N74" s="206"/>
    </row>
    <row r="75" spans="1:14" s="78" customFormat="1" ht="73.5" customHeight="1" x14ac:dyDescent="0.35">
      <c r="A75" s="507" t="str">
        <f>PO_CPE!A36</f>
        <v>2.5.2.3</v>
      </c>
      <c r="B75" s="539" t="str">
        <f>PO_CPE!D36</f>
        <v>PM03 90X210CM - PORTA MADEIRA SEMI-OCA, REVESTIMENTO MELAMÍNICO BRANCO TEXTURIZADO, INCLUINDO TRILHO, GUARNIÇÃO MADEIRA MACIÇA E MARCO METÁLICO</v>
      </c>
      <c r="C75" s="411" t="str">
        <f>PO_CPE!E36</f>
        <v>UNID.</v>
      </c>
      <c r="D75" s="191"/>
      <c r="E75" s="189"/>
      <c r="F75" s="185"/>
      <c r="G75" s="140"/>
      <c r="H75" s="187">
        <f>SUM(H76:H77)</f>
        <v>1385.01</v>
      </c>
      <c r="I75" s="153"/>
      <c r="J75" s="183"/>
      <c r="K75" s="187"/>
      <c r="L75" s="197"/>
      <c r="M75" s="187">
        <f>SUM(M76:M77)</f>
        <v>141.36000000000001</v>
      </c>
      <c r="N75" s="202">
        <f>M75+H75</f>
        <v>1526.37</v>
      </c>
    </row>
    <row r="76" spans="1:14" ht="90.75" customHeight="1" x14ac:dyDescent="0.35">
      <c r="A76" s="154"/>
      <c r="B76" s="153"/>
      <c r="C76" s="155"/>
      <c r="D76" s="192" t="s">
        <v>889</v>
      </c>
      <c r="E76" s="38" t="str">
        <f>+VLOOKUP(D76,Insumos_MAT!$B$8:$G$16489,2,0)</f>
        <v>UNID.</v>
      </c>
      <c r="F76" s="184">
        <f>+VLOOKUP(D76,Insumos_MAT!$B$8:$G$16489,6,0)</f>
        <v>1359</v>
      </c>
      <c r="G76" s="141">
        <v>1</v>
      </c>
      <c r="H76" s="184">
        <f>G76*F76</f>
        <v>1359</v>
      </c>
      <c r="I76" s="153" t="s">
        <v>735</v>
      </c>
      <c r="J76" s="39" t="str">
        <f>+VLOOKUP(I76,Insumos_MO!$B$8:$F$3741,2,0)</f>
        <v>H</v>
      </c>
      <c r="K76" s="184">
        <f>+VLOOKUP(I76,Insumos_MO!$B$8:$G$18183,5,0)</f>
        <v>18.23</v>
      </c>
      <c r="L76" s="198">
        <v>4</v>
      </c>
      <c r="M76" s="184">
        <f>+ROUND(K76*L76,2)</f>
        <v>72.92</v>
      </c>
      <c r="N76" s="206"/>
    </row>
    <row r="77" spans="1:14" ht="41.25" x14ac:dyDescent="0.35">
      <c r="A77" s="154"/>
      <c r="B77" s="153"/>
      <c r="C77" s="155"/>
      <c r="D77" s="192" t="s">
        <v>737</v>
      </c>
      <c r="E77" s="38" t="str">
        <f>+VLOOKUP(D77,Insumos_MAT!$B$8:$G$16489,2,0)</f>
        <v>UNID.</v>
      </c>
      <c r="F77" s="184">
        <f>+VLOOKUP(D77,Insumos_MAT!$B$8:$G$16489,6,0)</f>
        <v>26.01</v>
      </c>
      <c r="G77" s="141">
        <v>1</v>
      </c>
      <c r="H77" s="184">
        <f>G77*F77</f>
        <v>26.01</v>
      </c>
      <c r="I77" s="153" t="s">
        <v>116</v>
      </c>
      <c r="J77" s="39" t="str">
        <f>+VLOOKUP(I77,Insumos_MO!$B$8:$F$3741,2,0)</f>
        <v>H</v>
      </c>
      <c r="K77" s="184">
        <f>+VLOOKUP(I77,Insumos_MO!$B$8:$G$18183,5,0)</f>
        <v>17.11</v>
      </c>
      <c r="L77" s="198">
        <v>4</v>
      </c>
      <c r="M77" s="184">
        <f>+ROUND(K77*L77,2)</f>
        <v>68.44</v>
      </c>
      <c r="N77" s="206"/>
    </row>
    <row r="78" spans="1:14" x14ac:dyDescent="0.35">
      <c r="A78" s="154"/>
      <c r="B78" s="153"/>
      <c r="C78" s="155"/>
      <c r="D78" s="192"/>
      <c r="E78" s="38"/>
      <c r="F78" s="184"/>
      <c r="G78" s="141"/>
      <c r="H78" s="184"/>
      <c r="I78" s="37"/>
      <c r="J78" s="39"/>
      <c r="K78" s="184"/>
      <c r="L78" s="198"/>
      <c r="M78" s="184"/>
      <c r="N78" s="206"/>
    </row>
    <row r="79" spans="1:14" s="78" customFormat="1" ht="27.75" x14ac:dyDescent="0.35">
      <c r="A79" s="507" t="str">
        <f>PO_CPE!A37</f>
        <v>2.5.2.4</v>
      </c>
      <c r="B79" s="539" t="str">
        <f>PO_CPE!D37</f>
        <v>FERRAGENS PARA PORTA INTERNA DE ABRIR, COMPLETA</v>
      </c>
      <c r="C79" s="411" t="str">
        <f>PO_CPE!E37</f>
        <v>UNID.</v>
      </c>
      <c r="D79" s="191"/>
      <c r="E79" s="189"/>
      <c r="F79" s="185"/>
      <c r="G79" s="140"/>
      <c r="H79" s="187">
        <f>SUM(H80:H81)</f>
        <v>282.05</v>
      </c>
      <c r="I79" s="153"/>
      <c r="J79" s="183"/>
      <c r="K79" s="187"/>
      <c r="L79" s="197"/>
      <c r="M79" s="187">
        <f>SUM(M80:M81)</f>
        <v>53.02</v>
      </c>
      <c r="N79" s="202">
        <f>M79+H79</f>
        <v>335.07</v>
      </c>
    </row>
    <row r="80" spans="1:14" ht="56.25" x14ac:dyDescent="0.35">
      <c r="A80" s="154"/>
      <c r="B80" s="153"/>
      <c r="C80" s="155"/>
      <c r="D80" s="192" t="s">
        <v>739</v>
      </c>
      <c r="E80" s="38" t="str">
        <f>+VLOOKUP(D80,Insumos_MAT!$B$8:$G$16489,2,0)</f>
        <v>UNID.</v>
      </c>
      <c r="F80" s="184">
        <f>+VLOOKUP(D80,Insumos_MAT!$B$8:$G$16489,6,0)</f>
        <v>282.05</v>
      </c>
      <c r="G80" s="141">
        <v>1</v>
      </c>
      <c r="H80" s="184">
        <f>G80*F80</f>
        <v>282.05</v>
      </c>
      <c r="I80" s="153" t="s">
        <v>735</v>
      </c>
      <c r="J80" s="39" t="str">
        <f>+VLOOKUP(I80,Insumos_MO!$B$8:$F$3741,2,0)</f>
        <v>H</v>
      </c>
      <c r="K80" s="184">
        <f>+VLOOKUP(I80,Insumos_MO!$B$8:$G$18183,5,0)</f>
        <v>18.23</v>
      </c>
      <c r="L80" s="198">
        <v>1.5</v>
      </c>
      <c r="M80" s="184">
        <f>+ROUND(K80*L80,2)</f>
        <v>27.35</v>
      </c>
      <c r="N80" s="206"/>
    </row>
    <row r="81" spans="1:14" ht="41.25" x14ac:dyDescent="0.35">
      <c r="A81" s="154"/>
      <c r="B81" s="153"/>
      <c r="C81" s="155"/>
      <c r="D81" s="192"/>
      <c r="E81" s="38"/>
      <c r="F81" s="184"/>
      <c r="G81" s="141"/>
      <c r="H81" s="184"/>
      <c r="I81" s="153" t="s">
        <v>116</v>
      </c>
      <c r="J81" s="39" t="str">
        <f>+VLOOKUP(I81,Insumos_MO!$B$8:$F$3741,2,0)</f>
        <v>H</v>
      </c>
      <c r="K81" s="184">
        <f>+VLOOKUP(I81,Insumos_MO!$B$8:$G$18183,5,0)</f>
        <v>17.11</v>
      </c>
      <c r="L81" s="198">
        <v>1.5</v>
      </c>
      <c r="M81" s="184">
        <f>+ROUND(K81*L81,2)</f>
        <v>25.67</v>
      </c>
      <c r="N81" s="206"/>
    </row>
    <row r="82" spans="1:14" x14ac:dyDescent="0.35">
      <c r="A82" s="154"/>
      <c r="B82" s="153"/>
      <c r="C82" s="155"/>
      <c r="D82" s="192"/>
      <c r="E82" s="38"/>
      <c r="F82" s="184"/>
      <c r="G82" s="141"/>
      <c r="H82" s="184"/>
      <c r="I82" s="37"/>
      <c r="J82" s="39"/>
      <c r="K82" s="184"/>
      <c r="L82" s="198"/>
      <c r="M82" s="184"/>
      <c r="N82" s="206"/>
    </row>
    <row r="83" spans="1:14" s="78" customFormat="1" ht="21.75" customHeight="1" x14ac:dyDescent="0.35">
      <c r="A83" s="507" t="str">
        <f>PO_CPE!A40</f>
        <v>2.5.3.2</v>
      </c>
      <c r="B83" s="539" t="str">
        <f>PO_CPE!D40</f>
        <v>FIXAÇÃO INFERIOR E SUPERIOR PARA PORTA DE VIDRO</v>
      </c>
      <c r="C83" s="411" t="str">
        <f>PO_CPE!E40</f>
        <v>UNID.</v>
      </c>
      <c r="D83" s="191"/>
      <c r="E83" s="189"/>
      <c r="F83" s="185"/>
      <c r="G83" s="140"/>
      <c r="H83" s="187">
        <f>SUM(H84:H85)</f>
        <v>849.2</v>
      </c>
      <c r="I83" s="153"/>
      <c r="J83" s="183"/>
      <c r="K83" s="187"/>
      <c r="L83" s="197"/>
      <c r="M83" s="187">
        <f>SUM(M84:M85)</f>
        <v>66.320000000000007</v>
      </c>
      <c r="N83" s="202">
        <f>M83+H83</f>
        <v>915.5200000000001</v>
      </c>
    </row>
    <row r="84" spans="1:14" ht="41.25" x14ac:dyDescent="0.35">
      <c r="A84" s="154"/>
      <c r="B84" s="153"/>
      <c r="C84" s="155"/>
      <c r="D84" s="192" t="s">
        <v>892</v>
      </c>
      <c r="E84" s="38" t="str">
        <f>+VLOOKUP(D84,Insumos_MAT!$B$8:$G$16489,2,0)</f>
        <v>UNID.</v>
      </c>
      <c r="F84" s="184">
        <f>+VLOOKUP(D84,Insumos_MAT!$B$8:$G$16489,6,0)</f>
        <v>849.2</v>
      </c>
      <c r="G84" s="141">
        <v>1</v>
      </c>
      <c r="H84" s="184">
        <f>G84*F84</f>
        <v>849.2</v>
      </c>
      <c r="I84" s="153" t="s">
        <v>116</v>
      </c>
      <c r="J84" s="39" t="str">
        <f>+VLOOKUP(I84,Insumos_MO!$B$8:$F$3741,2,0)</f>
        <v>H</v>
      </c>
      <c r="K84" s="184">
        <f>+VLOOKUP(I84,Insumos_MO!$B$8:$G$18183,5,0)</f>
        <v>17.11</v>
      </c>
      <c r="L84" s="198">
        <v>1.7669999999999999</v>
      </c>
      <c r="M84" s="184">
        <f>+ROUND(K84*L84,2)</f>
        <v>30.23</v>
      </c>
      <c r="N84" s="206"/>
    </row>
    <row r="85" spans="1:14" ht="41.25" x14ac:dyDescent="0.35">
      <c r="A85" s="154"/>
      <c r="B85" s="153"/>
      <c r="C85" s="155"/>
      <c r="D85" s="192"/>
      <c r="E85" s="38"/>
      <c r="F85" s="184"/>
      <c r="G85" s="141"/>
      <c r="H85" s="184"/>
      <c r="I85" s="153" t="s">
        <v>742</v>
      </c>
      <c r="J85" s="39" t="str">
        <f>+VLOOKUP(I85,Insumos_MO!$B$8:$F$3741,2,0)</f>
        <v>H</v>
      </c>
      <c r="K85" s="184">
        <f>+VLOOKUP(I85,Insumos_MO!$B$8:$G$18183,5,0)</f>
        <v>19.850000000000001</v>
      </c>
      <c r="L85" s="198">
        <v>1.8180000000000001</v>
      </c>
      <c r="M85" s="184">
        <f>+ROUND(K85*L85,2)</f>
        <v>36.090000000000003</v>
      </c>
      <c r="N85" s="206"/>
    </row>
    <row r="86" spans="1:14" x14ac:dyDescent="0.35">
      <c r="A86" s="154"/>
      <c r="B86" s="153"/>
      <c r="C86" s="155"/>
      <c r="D86" s="192"/>
      <c r="E86" s="38"/>
      <c r="F86" s="184"/>
      <c r="G86" s="141"/>
      <c r="H86" s="184"/>
      <c r="I86" s="153"/>
      <c r="J86" s="39"/>
      <c r="K86" s="184"/>
      <c r="L86" s="198"/>
      <c r="M86" s="184"/>
      <c r="N86" s="206"/>
    </row>
    <row r="87" spans="1:14" s="78" customFormat="1" x14ac:dyDescent="0.35">
      <c r="A87" s="507" t="str">
        <f>PO_CPE!A41</f>
        <v>2.5.3.3</v>
      </c>
      <c r="B87" s="539" t="str">
        <f>PO_CPE!D41</f>
        <v>PUXADOR DUPLO INOX 40CM</v>
      </c>
      <c r="C87" s="411" t="str">
        <f>PO_CPE!E41</f>
        <v>UNID.</v>
      </c>
      <c r="D87" s="191"/>
      <c r="E87" s="189"/>
      <c r="F87" s="185"/>
      <c r="G87" s="140"/>
      <c r="H87" s="187">
        <f>SUM(H88:H88)</f>
        <v>269</v>
      </c>
      <c r="I87" s="153"/>
      <c r="J87" s="183"/>
      <c r="K87" s="187"/>
      <c r="L87" s="197"/>
      <c r="M87" s="187">
        <f>SUM(M88:M88)</f>
        <v>29.78</v>
      </c>
      <c r="N87" s="202">
        <f>M87+H87</f>
        <v>298.77999999999997</v>
      </c>
    </row>
    <row r="88" spans="1:14" ht="45" x14ac:dyDescent="0.35">
      <c r="A88" s="154"/>
      <c r="B88" s="153"/>
      <c r="C88" s="155"/>
      <c r="D88" s="192" t="s">
        <v>740</v>
      </c>
      <c r="E88" s="38" t="str">
        <f>+VLOOKUP(D88,Insumos_MAT!$B$8:$G$16489,2,0)</f>
        <v>UNID.</v>
      </c>
      <c r="F88" s="184">
        <f>+VLOOKUP(D88,Insumos_MAT!$B$8:$G$16489,6,0)</f>
        <v>269</v>
      </c>
      <c r="G88" s="141">
        <v>1</v>
      </c>
      <c r="H88" s="184">
        <f>G88*F88</f>
        <v>269</v>
      </c>
      <c r="I88" s="153" t="s">
        <v>742</v>
      </c>
      <c r="J88" s="39" t="str">
        <f>+VLOOKUP(I88,Insumos_MO!$B$8:$F$3741,2,0)</f>
        <v>H</v>
      </c>
      <c r="K88" s="184">
        <f>+VLOOKUP(I88,Insumos_MO!$B$8:$G$18183,5,0)</f>
        <v>19.850000000000001</v>
      </c>
      <c r="L88" s="198">
        <v>1.5</v>
      </c>
      <c r="M88" s="184">
        <f>+ROUND(K88*L88,2)</f>
        <v>29.78</v>
      </c>
      <c r="N88" s="206"/>
    </row>
    <row r="89" spans="1:14" x14ac:dyDescent="0.35">
      <c r="A89" s="154"/>
      <c r="B89" s="153"/>
      <c r="C89" s="155"/>
      <c r="D89" s="192"/>
      <c r="E89" s="38"/>
      <c r="F89" s="184"/>
      <c r="G89" s="141"/>
      <c r="H89" s="184"/>
      <c r="I89" s="37"/>
      <c r="J89" s="39"/>
      <c r="K89" s="184"/>
      <c r="L89" s="198"/>
      <c r="M89" s="184"/>
      <c r="N89" s="206"/>
    </row>
    <row r="90" spans="1:14" s="78" customFormat="1" ht="28.5" customHeight="1" x14ac:dyDescent="0.35">
      <c r="A90" s="507" t="str">
        <f>PO_CPE!A42</f>
        <v>2.5.3.4</v>
      </c>
      <c r="B90" s="539" t="str">
        <f>PO_CPE!D42</f>
        <v>VISOR VIDRO TEMPERADO 8MM PARA PORTAS</v>
      </c>
      <c r="C90" s="411" t="str">
        <f>PO_CPE!E42</f>
        <v>M2</v>
      </c>
      <c r="D90" s="191"/>
      <c r="E90" s="189"/>
      <c r="F90" s="185"/>
      <c r="G90" s="140"/>
      <c r="H90" s="187">
        <f>SUM(H91:H91)</f>
        <v>160.24</v>
      </c>
      <c r="I90" s="153"/>
      <c r="J90" s="183"/>
      <c r="K90" s="187"/>
      <c r="L90" s="197"/>
      <c r="M90" s="187">
        <f>SUM(M91:M91)</f>
        <v>19.850000000000001</v>
      </c>
      <c r="N90" s="202">
        <f>M90+H90</f>
        <v>180.09</v>
      </c>
    </row>
    <row r="91" spans="1:14" ht="41.25" x14ac:dyDescent="0.35">
      <c r="A91" s="154"/>
      <c r="B91" s="153"/>
      <c r="C91" s="155"/>
      <c r="D91" s="192" t="s">
        <v>744</v>
      </c>
      <c r="E91" s="38" t="str">
        <f>+VLOOKUP(D91,Insumos_MAT!$B$8:$G$16489,2,0)</f>
        <v>M2</v>
      </c>
      <c r="F91" s="184">
        <f>+VLOOKUP(D91,Insumos_MAT!$B$8:$G$16489,6,0)</f>
        <v>160.24</v>
      </c>
      <c r="G91" s="141">
        <v>1</v>
      </c>
      <c r="H91" s="184">
        <f>G91*F91</f>
        <v>160.24</v>
      </c>
      <c r="I91" s="153" t="s">
        <v>742</v>
      </c>
      <c r="J91" s="39" t="str">
        <f>+VLOOKUP(I91,Insumos_MO!$B$8:$F$3741,2,0)</f>
        <v>H</v>
      </c>
      <c r="K91" s="184">
        <f>+VLOOKUP(I91,Insumos_MO!$B$8:$G$18183,5,0)</f>
        <v>19.850000000000001</v>
      </c>
      <c r="L91" s="198">
        <v>1</v>
      </c>
      <c r="M91" s="184">
        <f>+ROUND(K91*L91,2)</f>
        <v>19.850000000000001</v>
      </c>
      <c r="N91" s="206"/>
    </row>
    <row r="92" spans="1:14" x14ac:dyDescent="0.35">
      <c r="A92" s="154"/>
      <c r="B92" s="153"/>
      <c r="C92" s="155"/>
      <c r="D92" s="192"/>
      <c r="E92" s="38"/>
      <c r="F92" s="184"/>
      <c r="G92" s="141"/>
      <c r="H92" s="184"/>
      <c r="I92" s="37"/>
      <c r="J92" s="39"/>
      <c r="K92" s="184"/>
      <c r="L92" s="198"/>
      <c r="M92" s="184"/>
      <c r="N92" s="206"/>
    </row>
    <row r="93" spans="1:14" s="78" customFormat="1" ht="46.5" customHeight="1" x14ac:dyDescent="0.35">
      <c r="A93" s="507" t="str">
        <f>PO_CPE!A43</f>
        <v>2.5.3.5</v>
      </c>
      <c r="B93" s="539" t="str">
        <f>PO_CPE!D43</f>
        <v>CAIXA MDF, REVESTIMENTO MELAMÍNICO BRANCO TEXTURIZADO PARA EMBUTIR TRILHOS DAS PORTAS DE CORRER</v>
      </c>
      <c r="C93" s="411" t="str">
        <f>PO_CPE!E43</f>
        <v>UNID.</v>
      </c>
      <c r="D93" s="191"/>
      <c r="E93" s="189"/>
      <c r="F93" s="185"/>
      <c r="G93" s="140"/>
      <c r="H93" s="187">
        <f>SUM(H94:H94)</f>
        <v>350</v>
      </c>
      <c r="I93" s="153"/>
      <c r="J93" s="183"/>
      <c r="K93" s="187"/>
      <c r="L93" s="197"/>
      <c r="M93" s="187">
        <f>SUM(M94:M95)</f>
        <v>42.41</v>
      </c>
      <c r="N93" s="202">
        <f>M93+H93</f>
        <v>392.40999999999997</v>
      </c>
    </row>
    <row r="94" spans="1:14" ht="67.5" x14ac:dyDescent="0.35">
      <c r="A94" s="154"/>
      <c r="B94" s="153"/>
      <c r="C94" s="155"/>
      <c r="D94" s="192" t="s">
        <v>746</v>
      </c>
      <c r="E94" s="38" t="str">
        <f>+VLOOKUP(D94,Insumos_MAT!$B$8:$G$16489,2,0)</f>
        <v>UNID.</v>
      </c>
      <c r="F94" s="184">
        <f>+VLOOKUP(D94,Insumos_MAT!$B$8:$G$16489,6,0)</f>
        <v>350</v>
      </c>
      <c r="G94" s="141">
        <v>1</v>
      </c>
      <c r="H94" s="184">
        <f>G94*F94</f>
        <v>350</v>
      </c>
      <c r="I94" s="153" t="s">
        <v>735</v>
      </c>
      <c r="J94" s="39" t="str">
        <f>+VLOOKUP(I94,Insumos_MO!$B$8:$F$3741,2,0)</f>
        <v>H</v>
      </c>
      <c r="K94" s="184">
        <f>+VLOOKUP(I94,Insumos_MO!$B$8:$G$18183,5,0)</f>
        <v>18.23</v>
      </c>
      <c r="L94" s="198">
        <v>1.2</v>
      </c>
      <c r="M94" s="184">
        <f>+ROUND(K94*L94,2)</f>
        <v>21.88</v>
      </c>
      <c r="N94" s="206"/>
    </row>
    <row r="95" spans="1:14" ht="41.25" x14ac:dyDescent="0.35">
      <c r="A95" s="154"/>
      <c r="B95" s="153"/>
      <c r="C95" s="155"/>
      <c r="D95" s="192"/>
      <c r="E95" s="38"/>
      <c r="F95" s="184"/>
      <c r="G95" s="141"/>
      <c r="H95" s="184"/>
      <c r="I95" s="153" t="s">
        <v>116</v>
      </c>
      <c r="J95" s="39" t="str">
        <f>+VLOOKUP(I95,Insumos_MO!$B$8:$F$3741,2,0)</f>
        <v>H</v>
      </c>
      <c r="K95" s="184">
        <f>+VLOOKUP(I95,Insumos_MO!$B$8:$G$18183,5,0)</f>
        <v>17.11</v>
      </c>
      <c r="L95" s="198">
        <v>1.2</v>
      </c>
      <c r="M95" s="184">
        <f>+ROUND(K95*L95,2)</f>
        <v>20.53</v>
      </c>
      <c r="N95" s="206"/>
    </row>
    <row r="96" spans="1:14" x14ac:dyDescent="0.35">
      <c r="A96" s="154"/>
      <c r="B96" s="153"/>
      <c r="C96" s="155"/>
      <c r="D96" s="192"/>
      <c r="E96" s="38"/>
      <c r="F96" s="184"/>
      <c r="G96" s="141"/>
      <c r="H96" s="184"/>
      <c r="I96" s="37"/>
      <c r="J96" s="39"/>
      <c r="K96" s="184"/>
      <c r="L96" s="198"/>
      <c r="M96" s="184"/>
      <c r="N96" s="206"/>
    </row>
    <row r="97" spans="1:16" s="78" customFormat="1" ht="46.5" customHeight="1" x14ac:dyDescent="0.35">
      <c r="A97" s="507" t="str">
        <f>PO_CPE!A39</f>
        <v>2.5.3.1</v>
      </c>
      <c r="B97" s="539" t="str">
        <f>PO_CPE!D39</f>
        <v>DIVISÓRIA DE VIDRO TEMPERADO LAMINADO 10MM, INCLUINDO PORTAS DE ABRIR 90X260CM E ACESSÓRIOS - INCLUINDO INSTALAÇÃO E PELÍCULA</v>
      </c>
      <c r="C97" s="411" t="str">
        <f>PO_CPE!E39</f>
        <v>M2</v>
      </c>
      <c r="D97" s="191"/>
      <c r="E97" s="189"/>
      <c r="F97" s="185"/>
      <c r="G97" s="140"/>
      <c r="H97" s="187">
        <f>SUM(H98:H98)</f>
        <v>917.50278706800441</v>
      </c>
      <c r="I97" s="153"/>
      <c r="J97" s="183"/>
      <c r="K97" s="187"/>
      <c r="L97" s="197"/>
      <c r="M97" s="187"/>
      <c r="N97" s="202">
        <f>M97+H97</f>
        <v>917.50278706800441</v>
      </c>
    </row>
    <row r="98" spans="1:16" ht="56.25" x14ac:dyDescent="0.35">
      <c r="A98" s="154"/>
      <c r="B98" s="153"/>
      <c r="C98" s="155"/>
      <c r="D98" s="192" t="s">
        <v>952</v>
      </c>
      <c r="E98" s="38" t="str">
        <f>+VLOOKUP(D98,Insumos_MAT!$B$8:$G$16489,2,0)</f>
        <v>M2</v>
      </c>
      <c r="F98" s="184">
        <f>+VLOOKUP(D98,Insumos_MAT!$B$8:$G$16489,6,0)</f>
        <v>917.50278706800441</v>
      </c>
      <c r="G98" s="141">
        <v>1</v>
      </c>
      <c r="H98" s="184">
        <f>G98*F98</f>
        <v>917.50278706800441</v>
      </c>
      <c r="I98" s="153"/>
      <c r="J98" s="39"/>
      <c r="K98" s="184"/>
      <c r="L98" s="198"/>
      <c r="M98" s="184"/>
      <c r="N98" s="206"/>
    </row>
    <row r="99" spans="1:16" x14ac:dyDescent="0.35">
      <c r="A99" s="154"/>
      <c r="B99" s="153"/>
      <c r="C99" s="155"/>
      <c r="D99" s="192"/>
      <c r="E99" s="38"/>
      <c r="F99" s="184"/>
      <c r="G99" s="141"/>
      <c r="H99" s="184"/>
      <c r="I99" s="37"/>
      <c r="J99" s="39"/>
      <c r="K99" s="184"/>
      <c r="L99" s="198"/>
      <c r="M99" s="184"/>
      <c r="N99" s="206"/>
    </row>
    <row r="100" spans="1:16" ht="27" x14ac:dyDescent="0.35">
      <c r="A100" s="149" t="str">
        <f>PO_CPE!A53</f>
        <v>2.7.1.1</v>
      </c>
      <c r="B100" s="41" t="str">
        <f>PO_CPE!D53</f>
        <v>REVESTIMENTO CERÂMICO 30X60CM, INCLUINDO REJUNTAMENTO EPÓXI</v>
      </c>
      <c r="C100" s="384" t="str">
        <f>PO_CPE!E53</f>
        <v>M2</v>
      </c>
      <c r="D100" s="151"/>
      <c r="E100" s="69"/>
      <c r="F100" s="185"/>
      <c r="G100" s="140"/>
      <c r="H100" s="187">
        <f>+SUM(H101:H104)</f>
        <v>65.537000000000006</v>
      </c>
      <c r="I100" s="182"/>
      <c r="J100" s="183"/>
      <c r="K100" s="187"/>
      <c r="L100" s="197"/>
      <c r="M100" s="187">
        <f>SUM(M101:M102)</f>
        <v>24.110000000000003</v>
      </c>
      <c r="N100" s="202">
        <f>+IF(A100&gt;0,SUM(H100:M100),0)</f>
        <v>89.647000000000006</v>
      </c>
    </row>
    <row r="101" spans="1:16" s="15" customFormat="1" ht="54" x14ac:dyDescent="0.35">
      <c r="A101" s="154"/>
      <c r="B101" s="41"/>
      <c r="C101" s="152"/>
      <c r="D101" s="37" t="s">
        <v>727</v>
      </c>
      <c r="E101" s="38" t="str">
        <f>+VLOOKUP(D101,Insumos_MAT!$B$8:$G$16489,2,0)</f>
        <v>M2</v>
      </c>
      <c r="F101" s="184">
        <f>+VLOOKUP(D101,Insumos_MAT!$B$8:$G$16489,6,0)</f>
        <v>42.15</v>
      </c>
      <c r="G101" s="141">
        <v>1.0900000000000001</v>
      </c>
      <c r="H101" s="184">
        <f>F101*G101</f>
        <v>45.9435</v>
      </c>
      <c r="I101" s="37" t="s">
        <v>543</v>
      </c>
      <c r="J101" s="39" t="str">
        <f>+VLOOKUP(I101,Insumos_MO!$B$8:$F$3741,2,0)</f>
        <v>H</v>
      </c>
      <c r="K101" s="184">
        <f>+VLOOKUP(I101,Insumos_MO!$B$8:$G$18183,5,0)</f>
        <v>20.63</v>
      </c>
      <c r="L101" s="198">
        <v>0.82</v>
      </c>
      <c r="M101" s="184">
        <f>+ROUND(K101*L101,2)</f>
        <v>16.920000000000002</v>
      </c>
      <c r="N101" s="205"/>
      <c r="O101" s="3"/>
      <c r="P101" s="24"/>
    </row>
    <row r="102" spans="1:16" s="15" customFormat="1" ht="40.5" x14ac:dyDescent="0.35">
      <c r="A102" s="149"/>
      <c r="B102" s="41"/>
      <c r="C102" s="150"/>
      <c r="D102" s="37" t="s">
        <v>540</v>
      </c>
      <c r="E102" s="38" t="str">
        <f>+VLOOKUP(D102,Insumos_MAT!$B$8:$G$16489,2,0)</f>
        <v>KG</v>
      </c>
      <c r="F102" s="184">
        <f>+VLOOKUP(D102,Insumos_MAT!$B$8:$G$16489,6,0)</f>
        <v>0.5</v>
      </c>
      <c r="G102" s="141">
        <v>8.9999999999999993E-3</v>
      </c>
      <c r="H102" s="184">
        <f>F102*G102</f>
        <v>4.4999999999999997E-3</v>
      </c>
      <c r="I102" s="37" t="s">
        <v>116</v>
      </c>
      <c r="J102" s="39" t="str">
        <f>+VLOOKUP(I102,Insumos_MO!$B$8:$F$3741,2,0)</f>
        <v>H</v>
      </c>
      <c r="K102" s="184">
        <f>+VLOOKUP(I102,Insumos_MO!$B$8:$G$18183,5,0)</f>
        <v>17.11</v>
      </c>
      <c r="L102" s="198">
        <v>0.42</v>
      </c>
      <c r="M102" s="184">
        <f>+ROUND(K102*L102,2)</f>
        <v>7.19</v>
      </c>
      <c r="N102" s="203"/>
      <c r="O102" s="3"/>
      <c r="P102" s="3"/>
    </row>
    <row r="103" spans="1:16" s="15" customFormat="1" ht="27" x14ac:dyDescent="0.35">
      <c r="A103" s="149"/>
      <c r="B103" s="41"/>
      <c r="C103" s="150"/>
      <c r="D103" s="37" t="s">
        <v>618</v>
      </c>
      <c r="E103" s="38" t="str">
        <f>+VLOOKUP(D103,Insumos_MAT!$B$8:$G$16489,2,0)</f>
        <v>KG</v>
      </c>
      <c r="F103" s="184">
        <f>+VLOOKUP(D103,Insumos_MAT!$B$8:$G$16489,6,0)</f>
        <v>61.83</v>
      </c>
      <c r="G103" s="141">
        <v>0.3</v>
      </c>
      <c r="H103" s="184">
        <f>F103*G103</f>
        <v>18.548999999999999</v>
      </c>
      <c r="I103" s="37"/>
      <c r="J103" s="39"/>
      <c r="K103" s="184"/>
      <c r="L103" s="198"/>
      <c r="M103" s="184"/>
      <c r="N103" s="203"/>
      <c r="O103" s="3"/>
      <c r="P103" s="3"/>
    </row>
    <row r="104" spans="1:16" s="15" customFormat="1" ht="27" x14ac:dyDescent="0.35">
      <c r="A104" s="149"/>
      <c r="B104" s="41"/>
      <c r="C104" s="150"/>
      <c r="D104" s="37" t="s">
        <v>542</v>
      </c>
      <c r="E104" s="38" t="str">
        <f>+VLOOKUP(D104,Insumos_MAT!$B$8:$G$16489,2,0)</f>
        <v>UNID.</v>
      </c>
      <c r="F104" s="184">
        <f>+VLOOKUP(D104,Insumos_MAT!$B$8:$G$16489,6,0)</f>
        <v>0.13</v>
      </c>
      <c r="G104" s="141">
        <v>8</v>
      </c>
      <c r="H104" s="184">
        <f>F104*G104</f>
        <v>1.04</v>
      </c>
      <c r="I104" s="37"/>
      <c r="J104" s="39"/>
      <c r="K104" s="184"/>
      <c r="L104" s="198"/>
      <c r="M104" s="184"/>
      <c r="N104" s="203"/>
      <c r="O104" s="3"/>
      <c r="P104" s="3"/>
    </row>
    <row r="105" spans="1:16" s="15" customFormat="1" x14ac:dyDescent="0.35">
      <c r="A105" s="149"/>
      <c r="B105" s="41"/>
      <c r="C105" s="150"/>
      <c r="D105" s="37"/>
      <c r="E105" s="38"/>
      <c r="F105" s="184"/>
      <c r="G105" s="141"/>
      <c r="H105" s="184"/>
      <c r="I105" s="151"/>
      <c r="J105" s="69"/>
      <c r="K105" s="185"/>
      <c r="L105" s="199"/>
      <c r="M105" s="185"/>
      <c r="N105" s="203"/>
      <c r="O105" s="3"/>
      <c r="P105" s="3"/>
    </row>
    <row r="106" spans="1:16" ht="27" x14ac:dyDescent="0.35">
      <c r="A106" s="149" t="str">
        <f>PO_CPE!C58</f>
        <v>2.7.2.2</v>
      </c>
      <c r="B106" s="41" t="str">
        <f>PO_CPE!D58</f>
        <v>ALÇAPÃO METÁLICO PARA FORRO DE GESSO 40X40CM</v>
      </c>
      <c r="C106" s="384" t="str">
        <f>PO_CPE!E58</f>
        <v>UNID.</v>
      </c>
      <c r="D106" s="151"/>
      <c r="E106" s="69"/>
      <c r="F106" s="185"/>
      <c r="G106" s="140"/>
      <c r="H106" s="187">
        <f>+SUM(H107:H107)</f>
        <v>112.92</v>
      </c>
      <c r="I106" s="182"/>
      <c r="J106" s="183"/>
      <c r="K106" s="187"/>
      <c r="L106" s="197"/>
      <c r="M106" s="187">
        <f>SUM(M107:M107)</f>
        <v>20.83</v>
      </c>
      <c r="N106" s="202">
        <f>+IF(A106&gt;0,SUM(H106:M106),0)</f>
        <v>133.75</v>
      </c>
    </row>
    <row r="107" spans="1:16" s="15" customFormat="1" ht="54" x14ac:dyDescent="0.35">
      <c r="A107" s="154"/>
      <c r="B107" s="41"/>
      <c r="C107" s="152"/>
      <c r="D107" s="37" t="s">
        <v>878</v>
      </c>
      <c r="E107" s="38" t="str">
        <f>+VLOOKUP(D107,Insumos_MAT!$B$8:$G$16489,2,0)</f>
        <v>UNID.</v>
      </c>
      <c r="F107" s="184">
        <f>+VLOOKUP(D107,Insumos_MAT!$B$8:$G$16489,6,0)</f>
        <v>112.92</v>
      </c>
      <c r="G107" s="141">
        <v>1</v>
      </c>
      <c r="H107" s="184">
        <f>F107*G107</f>
        <v>112.92</v>
      </c>
      <c r="I107" s="37" t="s">
        <v>589</v>
      </c>
      <c r="J107" s="39" t="str">
        <f>+VLOOKUP(I107,Insumos_MO!$B$8:$F$3741,2,0)</f>
        <v>H</v>
      </c>
      <c r="K107" s="184">
        <f>+VLOOKUP(I107,Insumos_MO!$B$8:$G$18183,5,0)</f>
        <v>20.83</v>
      </c>
      <c r="L107" s="198">
        <v>1</v>
      </c>
      <c r="M107" s="184">
        <f>+ROUND(K107*L107,2)</f>
        <v>20.83</v>
      </c>
      <c r="N107" s="205"/>
      <c r="O107" s="3"/>
      <c r="P107" s="24"/>
    </row>
    <row r="108" spans="1:16" s="15" customFormat="1" x14ac:dyDescent="0.35">
      <c r="A108" s="149"/>
      <c r="B108" s="41"/>
      <c r="C108" s="150"/>
      <c r="D108" s="37"/>
      <c r="E108" s="38"/>
      <c r="F108" s="184"/>
      <c r="G108" s="141"/>
      <c r="H108" s="184"/>
      <c r="I108" s="151"/>
      <c r="J108" s="69"/>
      <c r="K108" s="185"/>
      <c r="L108" s="199"/>
      <c r="M108" s="185"/>
      <c r="N108" s="203"/>
      <c r="O108" s="3"/>
      <c r="P108" s="3"/>
    </row>
    <row r="109" spans="1:16" ht="27" x14ac:dyDescent="0.35">
      <c r="A109" s="149" t="str">
        <f>PO_CPE!A67</f>
        <v>2.7.5.2</v>
      </c>
      <c r="B109" s="41" t="str">
        <f>PO_CPE!D67</f>
        <v>APLICAÇÃO DE FUNDO SELADOR ACRÍLICO EM TETO, UMA DEMÃO</v>
      </c>
      <c r="C109" s="384" t="str">
        <f>PO_CPE!E67</f>
        <v>M2</v>
      </c>
      <c r="D109" s="151"/>
      <c r="E109" s="69"/>
      <c r="F109" s="185"/>
      <c r="G109" s="140"/>
      <c r="H109" s="187">
        <f>+SUM(H110:H111)</f>
        <v>11.098328</v>
      </c>
      <c r="I109" s="182"/>
      <c r="J109" s="183"/>
      <c r="K109" s="187"/>
      <c r="L109" s="197"/>
      <c r="M109" s="187">
        <f>SUM(M110:M111)</f>
        <v>9.15</v>
      </c>
      <c r="N109" s="202">
        <f>+IF(A109&gt;0,SUM(H109:M109),0)</f>
        <v>20.248328000000001</v>
      </c>
    </row>
    <row r="110" spans="1:16" s="15" customFormat="1" ht="40.5" x14ac:dyDescent="0.35">
      <c r="A110" s="154"/>
      <c r="B110" s="41"/>
      <c r="C110" s="152"/>
      <c r="D110" s="37" t="s">
        <v>546</v>
      </c>
      <c r="E110" s="38" t="str">
        <f>+VLOOKUP(D110,Insumos_MAT!$B$8:$G$16489,2,0)</f>
        <v>GL</v>
      </c>
      <c r="F110" s="184">
        <f>+VLOOKUP(D110,Insumos_MAT!$B$8:$G$16489,6,0)</f>
        <v>254.36</v>
      </c>
      <c r="G110" s="141">
        <v>3.9199999999999999E-2</v>
      </c>
      <c r="H110" s="184">
        <f>F110*G110</f>
        <v>9.9709120000000002</v>
      </c>
      <c r="I110" s="37" t="s">
        <v>550</v>
      </c>
      <c r="J110" s="39" t="str">
        <f>+VLOOKUP(I110,Insumos_MO!$B$8:$F$3741,2,0)</f>
        <v>H</v>
      </c>
      <c r="K110" s="184">
        <f>+VLOOKUP(I110,Insumos_MO!$B$8:$G$18183,5,0)</f>
        <v>22.93</v>
      </c>
      <c r="L110" s="198">
        <v>0.25</v>
      </c>
      <c r="M110" s="184">
        <f>+ROUND(K110*L110,2)</f>
        <v>5.73</v>
      </c>
      <c r="N110" s="205"/>
      <c r="O110" s="3"/>
      <c r="P110" s="24"/>
    </row>
    <row r="111" spans="1:16" s="15" customFormat="1" ht="40.5" x14ac:dyDescent="0.35">
      <c r="A111" s="149"/>
      <c r="B111" s="41"/>
      <c r="C111" s="150"/>
      <c r="D111" s="37" t="s">
        <v>545</v>
      </c>
      <c r="E111" s="38" t="str">
        <f>+VLOOKUP(D111,Insumos_MAT!$B$8:$G$16489,2,0)</f>
        <v>L</v>
      </c>
      <c r="F111" s="184">
        <f>+VLOOKUP(D111,Insumos_MAT!$B$8:$G$16489,6,0)</f>
        <v>53.18</v>
      </c>
      <c r="G111" s="141">
        <v>2.12E-2</v>
      </c>
      <c r="H111" s="184">
        <f>F111*G111</f>
        <v>1.127416</v>
      </c>
      <c r="I111" s="37" t="s">
        <v>116</v>
      </c>
      <c r="J111" s="39" t="str">
        <f>+VLOOKUP(I111,Insumos_MO!$B$8:$F$3741,2,0)</f>
        <v>H</v>
      </c>
      <c r="K111" s="184">
        <f>+VLOOKUP(I111,Insumos_MO!$B$8:$G$18183,5,0)</f>
        <v>17.11</v>
      </c>
      <c r="L111" s="198">
        <v>0.2</v>
      </c>
      <c r="M111" s="184">
        <f>+ROUND(K111*L111,2)</f>
        <v>3.42</v>
      </c>
      <c r="N111" s="203"/>
      <c r="O111" s="3"/>
      <c r="P111" s="3"/>
    </row>
    <row r="112" spans="1:16" s="15" customFormat="1" x14ac:dyDescent="0.35">
      <c r="A112" s="149"/>
      <c r="B112" s="41"/>
      <c r="C112" s="150"/>
      <c r="D112" s="37"/>
      <c r="E112" s="38"/>
      <c r="F112" s="184"/>
      <c r="G112" s="141"/>
      <c r="H112" s="184"/>
      <c r="I112" s="151"/>
      <c r="J112" s="69"/>
      <c r="K112" s="185"/>
      <c r="L112" s="199"/>
      <c r="M112" s="185"/>
      <c r="N112" s="203"/>
      <c r="O112" s="3"/>
      <c r="P112" s="3"/>
    </row>
    <row r="113" spans="1:16" ht="40.5" x14ac:dyDescent="0.35">
      <c r="A113" s="149" t="str">
        <f>PO_CPE!A68</f>
        <v>2.7.5.3</v>
      </c>
      <c r="B113" s="41" t="str">
        <f>PO_CPE!D68</f>
        <v>APLICAÇÃO MANUAL DE PINTURA COM TINTA LÁTEX PVA EM TETO, DUAS DEMÃOS</v>
      </c>
      <c r="C113" s="384" t="str">
        <f>PO_CPE!E68</f>
        <v>M2</v>
      </c>
      <c r="D113" s="151"/>
      <c r="E113" s="69"/>
      <c r="F113" s="185"/>
      <c r="G113" s="140"/>
      <c r="H113" s="187">
        <f>+SUM(H114:H115)</f>
        <v>13.058694000000001</v>
      </c>
      <c r="I113" s="182"/>
      <c r="J113" s="183"/>
      <c r="K113" s="187"/>
      <c r="L113" s="197"/>
      <c r="M113" s="187">
        <f>SUM(M114:M115)</f>
        <v>18.310000000000002</v>
      </c>
      <c r="N113" s="202">
        <f>+IF(A113&gt;0,SUM(H113:M113),0)</f>
        <v>31.368694000000005</v>
      </c>
    </row>
    <row r="114" spans="1:16" s="15" customFormat="1" ht="40.5" x14ac:dyDescent="0.35">
      <c r="A114" s="154"/>
      <c r="B114" s="41"/>
      <c r="C114" s="152"/>
      <c r="D114" s="37" t="s">
        <v>545</v>
      </c>
      <c r="E114" s="38" t="str">
        <f>+VLOOKUP(D114,Insumos_MAT!$B$8:$G$16489,2,0)</f>
        <v>L</v>
      </c>
      <c r="F114" s="184">
        <f>+VLOOKUP(D114,Insumos_MAT!$B$8:$G$16489,6,0)</f>
        <v>53.18</v>
      </c>
      <c r="G114" s="141">
        <v>3.0300000000000001E-2</v>
      </c>
      <c r="H114" s="184">
        <f>F114*G114</f>
        <v>1.611354</v>
      </c>
      <c r="I114" s="37" t="s">
        <v>550</v>
      </c>
      <c r="J114" s="39" t="str">
        <f>+VLOOKUP(I114,Insumos_MO!$B$8:$F$3741,2,0)</f>
        <v>H</v>
      </c>
      <c r="K114" s="184">
        <f>+VLOOKUP(I114,Insumos_MO!$B$8:$G$18183,5,0)</f>
        <v>22.93</v>
      </c>
      <c r="L114" s="198">
        <v>0.5</v>
      </c>
      <c r="M114" s="184">
        <f>+ROUND(K114*L114,2)</f>
        <v>11.47</v>
      </c>
      <c r="N114" s="205"/>
      <c r="O114" s="3"/>
      <c r="P114" s="24"/>
    </row>
    <row r="115" spans="1:16" s="15" customFormat="1" ht="40.5" x14ac:dyDescent="0.35">
      <c r="A115" s="149"/>
      <c r="B115" s="41"/>
      <c r="C115" s="150"/>
      <c r="D115" s="37" t="s">
        <v>549</v>
      </c>
      <c r="E115" s="38" t="str">
        <f>+VLOOKUP(D115,Insumos_MAT!$B$8:$G$16489,2,0)</f>
        <v>L</v>
      </c>
      <c r="F115" s="184">
        <f>+VLOOKUP(D115,Insumos_MAT!$B$8:$G$16489,6,0)</f>
        <v>56.67</v>
      </c>
      <c r="G115" s="141">
        <v>0.20200000000000001</v>
      </c>
      <c r="H115" s="184">
        <f>F115*G115</f>
        <v>11.447340000000001</v>
      </c>
      <c r="I115" s="37" t="s">
        <v>116</v>
      </c>
      <c r="J115" s="39" t="str">
        <f>+VLOOKUP(I115,Insumos_MO!$B$8:$F$3741,2,0)</f>
        <v>H</v>
      </c>
      <c r="K115" s="184">
        <f>+VLOOKUP(I115,Insumos_MO!$B$8:$G$18183,5,0)</f>
        <v>17.11</v>
      </c>
      <c r="L115" s="198">
        <v>0.4</v>
      </c>
      <c r="M115" s="184">
        <f>+ROUND(K115*L115,2)</f>
        <v>6.84</v>
      </c>
      <c r="N115" s="203"/>
      <c r="O115" s="3"/>
      <c r="P115" s="3"/>
    </row>
    <row r="116" spans="1:16" s="15" customFormat="1" x14ac:dyDescent="0.35">
      <c r="A116" s="149"/>
      <c r="B116" s="41"/>
      <c r="C116" s="150"/>
      <c r="D116" s="37"/>
      <c r="E116" s="38"/>
      <c r="F116" s="184"/>
      <c r="G116" s="141"/>
      <c r="H116" s="184"/>
      <c r="I116" s="151"/>
      <c r="J116" s="69"/>
      <c r="K116" s="185"/>
      <c r="L116" s="199"/>
      <c r="M116" s="185"/>
      <c r="N116" s="203"/>
      <c r="O116" s="3"/>
      <c r="P116" s="3"/>
    </row>
    <row r="117" spans="1:16" ht="27" x14ac:dyDescent="0.35">
      <c r="A117" s="149" t="str">
        <f>PO_CPE!A74</f>
        <v>2.8.2</v>
      </c>
      <c r="B117" s="41" t="str">
        <f>PO_CPE!D74</f>
        <v>PREPARAÇÃO AUTONIVELANTE PARA PISO VINÍLICO</v>
      </c>
      <c r="C117" s="384" t="str">
        <f>PO_CPE!E74</f>
        <v>M2</v>
      </c>
      <c r="D117" s="151"/>
      <c r="E117" s="69"/>
      <c r="F117" s="185"/>
      <c r="G117" s="140"/>
      <c r="H117" s="187">
        <f>+SUM(H118)</f>
        <v>33.107500000000002</v>
      </c>
      <c r="I117" s="182"/>
      <c r="J117" s="183"/>
      <c r="K117" s="187"/>
      <c r="L117" s="197"/>
      <c r="M117" s="187">
        <f>SUM(M118:M119)</f>
        <v>11.34</v>
      </c>
      <c r="N117" s="202">
        <f>+IF(A117&gt;0,SUM(H117:M117),0)</f>
        <v>44.447500000000005</v>
      </c>
    </row>
    <row r="118" spans="1:16" s="15" customFormat="1" ht="40.5" x14ac:dyDescent="0.35">
      <c r="A118" s="154"/>
      <c r="B118" s="41"/>
      <c r="C118" s="152"/>
      <c r="D118" s="37" t="s">
        <v>948</v>
      </c>
      <c r="E118" s="38" t="str">
        <f>+VLOOKUP(D118,Insumos_MAT!$B$8:$G$16489,2,0)</f>
        <v>KG</v>
      </c>
      <c r="F118" s="184">
        <f>+VLOOKUP(D118,Insumos_MAT!$B$8:$G$16489,6,0)</f>
        <v>3.8950000000000005</v>
      </c>
      <c r="G118" s="141">
        <f>1.7*5</f>
        <v>8.5</v>
      </c>
      <c r="H118" s="184">
        <f>F118*G118</f>
        <v>33.107500000000002</v>
      </c>
      <c r="I118" s="37" t="s">
        <v>155</v>
      </c>
      <c r="J118" s="39" t="str">
        <f>+VLOOKUP(I118,Insumos_MO!$B$8:$F$3741,2,0)</f>
        <v>H</v>
      </c>
      <c r="K118" s="184">
        <f>+VLOOKUP(I118,Insumos_MO!$B$8:$G$18183,5,0)</f>
        <v>20.71</v>
      </c>
      <c r="L118" s="198">
        <v>0.3</v>
      </c>
      <c r="M118" s="184">
        <f>+ROUND(K118*L118,2)</f>
        <v>6.21</v>
      </c>
      <c r="N118" s="205"/>
      <c r="O118" s="3"/>
      <c r="P118" s="24"/>
    </row>
    <row r="119" spans="1:16" s="15" customFormat="1" ht="40.5" x14ac:dyDescent="0.35">
      <c r="A119" s="149"/>
      <c r="B119" s="41"/>
      <c r="C119" s="150"/>
      <c r="D119" s="37"/>
      <c r="E119" s="38"/>
      <c r="F119" s="184"/>
      <c r="G119" s="141"/>
      <c r="H119" s="184"/>
      <c r="I119" s="37" t="s">
        <v>116</v>
      </c>
      <c r="J119" s="39" t="str">
        <f>+VLOOKUP(I119,Insumos_MO!$B$8:$F$3741,2,0)</f>
        <v>H</v>
      </c>
      <c r="K119" s="184">
        <f>+VLOOKUP(I119,Insumos_MO!$B$8:$G$18183,5,0)</f>
        <v>17.11</v>
      </c>
      <c r="L119" s="198">
        <v>0.3</v>
      </c>
      <c r="M119" s="184">
        <f>+ROUND(K119*L119,2)</f>
        <v>5.13</v>
      </c>
      <c r="N119" s="203"/>
      <c r="O119" s="3"/>
      <c r="P119" s="3"/>
    </row>
    <row r="120" spans="1:16" s="15" customFormat="1" x14ac:dyDescent="0.35">
      <c r="A120" s="149"/>
      <c r="B120" s="41"/>
      <c r="C120" s="150"/>
      <c r="D120" s="37"/>
      <c r="E120" s="38"/>
      <c r="F120" s="184"/>
      <c r="G120" s="141"/>
      <c r="H120" s="184"/>
      <c r="I120" s="151"/>
      <c r="J120" s="69"/>
      <c r="K120" s="185"/>
      <c r="L120" s="199"/>
      <c r="M120" s="185"/>
      <c r="N120" s="203"/>
      <c r="O120" s="3"/>
      <c r="P120" s="3"/>
    </row>
    <row r="121" spans="1:16" ht="12.75" customHeight="1" x14ac:dyDescent="0.35">
      <c r="A121" s="149" t="str">
        <f>PO_CPE!A75</f>
        <v>2.8.3</v>
      </c>
      <c r="B121" s="41" t="str">
        <f>PO_CPE!D75</f>
        <v>PISO VINÍLICO EM PLACAS</v>
      </c>
      <c r="C121" s="384" t="str">
        <f>PO_CPE!E75</f>
        <v>M2</v>
      </c>
      <c r="D121" s="151"/>
      <c r="E121" s="69"/>
      <c r="F121" s="185"/>
      <c r="G121" s="140"/>
      <c r="H121" s="187">
        <f>+SUM(H122:H123)</f>
        <v>269.19420000000002</v>
      </c>
      <c r="I121" s="182"/>
      <c r="J121" s="183"/>
      <c r="K121" s="187"/>
      <c r="L121" s="197"/>
      <c r="M121" s="187">
        <f>SUM(M122:M123)</f>
        <v>25.259999999999998</v>
      </c>
      <c r="N121" s="202">
        <f>+IF(A121&gt;0,SUM(H121:M121),0)</f>
        <v>294.45420000000001</v>
      </c>
    </row>
    <row r="122" spans="1:16" s="15" customFormat="1" ht="54" x14ac:dyDescent="0.35">
      <c r="A122" s="154"/>
      <c r="B122" s="41"/>
      <c r="C122" s="152"/>
      <c r="D122" s="37" t="s">
        <v>729</v>
      </c>
      <c r="E122" s="38" t="str">
        <f>+VLOOKUP(D122,Insumos_MAT!$B$8:$G$16489,2,0)</f>
        <v>M2</v>
      </c>
      <c r="F122" s="184">
        <f>+VLOOKUP(D122,Insumos_MAT!$B$8:$G$16489,6,0)</f>
        <v>235.82</v>
      </c>
      <c r="G122" s="141">
        <v>1.1100000000000001</v>
      </c>
      <c r="H122" s="184">
        <f>F122*G122</f>
        <v>261.7602</v>
      </c>
      <c r="I122" s="37" t="s">
        <v>155</v>
      </c>
      <c r="J122" s="39" t="str">
        <f>+VLOOKUP(I122,Insumos_MO!$B$8:$F$3741,2,0)</f>
        <v>H</v>
      </c>
      <c r="K122" s="184">
        <f>+VLOOKUP(I122,Insumos_MO!$B$8:$G$18183,5,0)</f>
        <v>20.71</v>
      </c>
      <c r="L122" s="198">
        <v>0.6</v>
      </c>
      <c r="M122" s="184">
        <f>+ROUND(K122*L122,2)</f>
        <v>12.43</v>
      </c>
      <c r="N122" s="205"/>
      <c r="O122" s="3"/>
      <c r="P122" s="24"/>
    </row>
    <row r="123" spans="1:16" s="15" customFormat="1" ht="40.5" x14ac:dyDescent="0.35">
      <c r="A123" s="149"/>
      <c r="B123" s="41"/>
      <c r="C123" s="150"/>
      <c r="D123" s="37" t="s">
        <v>954</v>
      </c>
      <c r="E123" s="38" t="str">
        <f>+VLOOKUP(D123,Insumos_MAT!$B$8:$G$16489,2,0)</f>
        <v>GL</v>
      </c>
      <c r="F123" s="184">
        <f>+VLOOKUP(D123,Insumos_MAT!$B$8:$G$16489,6,0)</f>
        <v>106.2</v>
      </c>
      <c r="G123" s="574">
        <f>(1/15)*1.05</f>
        <v>7.0000000000000007E-2</v>
      </c>
      <c r="H123" s="184">
        <f>F123*G123</f>
        <v>7.4340000000000011</v>
      </c>
      <c r="I123" s="37" t="s">
        <v>116</v>
      </c>
      <c r="J123" s="39" t="str">
        <f>+VLOOKUP(I123,Insumos_MO!$B$8:$F$3741,2,0)</f>
        <v>H</v>
      </c>
      <c r="K123" s="184">
        <f>+VLOOKUP(I123,Insumos_MO!$B$8:$G$18183,5,0)</f>
        <v>17.11</v>
      </c>
      <c r="L123" s="198">
        <v>0.75</v>
      </c>
      <c r="M123" s="184">
        <f>+ROUND(K123*L123,2)</f>
        <v>12.83</v>
      </c>
      <c r="N123" s="203"/>
      <c r="O123" s="3"/>
      <c r="P123" s="3"/>
    </row>
    <row r="124" spans="1:16" s="15" customFormat="1" x14ac:dyDescent="0.35">
      <c r="A124" s="149"/>
      <c r="B124" s="41"/>
      <c r="C124" s="150"/>
      <c r="D124" s="37"/>
      <c r="E124" s="38"/>
      <c r="F124" s="184"/>
      <c r="G124" s="141"/>
      <c r="H124" s="184"/>
      <c r="I124" s="151"/>
      <c r="J124" s="69"/>
      <c r="K124" s="185"/>
      <c r="L124" s="199"/>
      <c r="M124" s="185"/>
      <c r="N124" s="203"/>
      <c r="O124" s="3"/>
      <c r="P124" s="3"/>
    </row>
    <row r="125" spans="1:16" ht="12.75" customHeight="1" x14ac:dyDescent="0.35">
      <c r="A125" s="149" t="str">
        <f>PO_CPE!A76</f>
        <v>2.8.4</v>
      </c>
      <c r="B125" s="41" t="str">
        <f>PO_CPE!D76</f>
        <v>RODAPÉ POLIESTIRENO</v>
      </c>
      <c r="C125" s="384" t="str">
        <f>PO_CPE!E76</f>
        <v>M</v>
      </c>
      <c r="D125" s="151"/>
      <c r="E125" s="69"/>
      <c r="F125" s="185"/>
      <c r="G125" s="140"/>
      <c r="H125" s="187">
        <f>+SUM(H126:H127)</f>
        <v>35.966999999999999</v>
      </c>
      <c r="I125" s="182"/>
      <c r="J125" s="183"/>
      <c r="K125" s="187"/>
      <c r="L125" s="197"/>
      <c r="M125" s="187">
        <f>SUM(M126:M127)</f>
        <v>8.91</v>
      </c>
      <c r="N125" s="202">
        <f>+IF(A125&gt;0,SUM(H125:M125),0)</f>
        <v>44.876999999999995</v>
      </c>
    </row>
    <row r="126" spans="1:16" s="15" customFormat="1" ht="40.5" x14ac:dyDescent="0.35">
      <c r="A126" s="154"/>
      <c r="B126" s="41"/>
      <c r="C126" s="152"/>
      <c r="D126" s="37" t="s">
        <v>875</v>
      </c>
      <c r="E126" s="38" t="str">
        <f>+VLOOKUP(D126,Insumos_MAT!$B$8:$G$16489,2,0)</f>
        <v>M</v>
      </c>
      <c r="F126" s="184">
        <f>+VLOOKUP(D126,Insumos_MAT!$B$8:$G$16489,6,0)</f>
        <v>33.25</v>
      </c>
      <c r="G126" s="141">
        <v>1.05</v>
      </c>
      <c r="H126" s="184">
        <f>F126*G126</f>
        <v>34.912500000000001</v>
      </c>
      <c r="I126" s="37" t="s">
        <v>155</v>
      </c>
      <c r="J126" s="39" t="str">
        <f>+VLOOKUP(I126,Insumos_MO!$B$8:$F$3741,2,0)</f>
        <v>H</v>
      </c>
      <c r="K126" s="184">
        <f>+VLOOKUP(I126,Insumos_MO!$B$8:$G$18183,5,0)</f>
        <v>20.71</v>
      </c>
      <c r="L126" s="198">
        <v>0.1</v>
      </c>
      <c r="M126" s="184">
        <f>+ROUND(K126*L126,2)</f>
        <v>2.0699999999999998</v>
      </c>
      <c r="N126" s="205"/>
      <c r="O126" s="3"/>
      <c r="P126" s="24"/>
    </row>
    <row r="127" spans="1:16" s="15" customFormat="1" ht="40.5" x14ac:dyDescent="0.35">
      <c r="A127" s="149"/>
      <c r="B127" s="41"/>
      <c r="C127" s="150"/>
      <c r="D127" s="37" t="s">
        <v>555</v>
      </c>
      <c r="E127" s="38" t="str">
        <f>+VLOOKUP(D127,Insumos_MAT!$B$8:$G$16489,2,0)</f>
        <v>KG</v>
      </c>
      <c r="F127" s="184">
        <f>+VLOOKUP(D127,Insumos_MAT!$B$8:$G$16489,6,0)</f>
        <v>21.09</v>
      </c>
      <c r="G127" s="141">
        <v>0.05</v>
      </c>
      <c r="H127" s="184">
        <f>F127*G127</f>
        <v>1.0545</v>
      </c>
      <c r="I127" s="37" t="s">
        <v>116</v>
      </c>
      <c r="J127" s="39" t="str">
        <f>+VLOOKUP(I127,Insumos_MO!$B$8:$F$3741,2,0)</f>
        <v>H</v>
      </c>
      <c r="K127" s="184">
        <f>+VLOOKUP(I127,Insumos_MO!$B$8:$G$18183,5,0)</f>
        <v>17.11</v>
      </c>
      <c r="L127" s="198">
        <v>0.4</v>
      </c>
      <c r="M127" s="184">
        <f>+ROUND(K127*L127,2)</f>
        <v>6.84</v>
      </c>
      <c r="N127" s="203"/>
      <c r="O127" s="3"/>
      <c r="P127" s="3"/>
    </row>
    <row r="128" spans="1:16" s="15" customFormat="1" x14ac:dyDescent="0.35">
      <c r="A128" s="149"/>
      <c r="B128" s="41"/>
      <c r="C128" s="150"/>
      <c r="D128" s="37"/>
      <c r="E128" s="38"/>
      <c r="F128" s="184"/>
      <c r="G128" s="141"/>
      <c r="H128" s="184"/>
      <c r="I128" s="151"/>
      <c r="J128" s="69"/>
      <c r="K128" s="185"/>
      <c r="L128" s="199"/>
      <c r="M128" s="185"/>
      <c r="N128" s="203"/>
      <c r="O128" s="3"/>
      <c r="P128" s="3"/>
    </row>
    <row r="129" spans="1:16" ht="24.75" customHeight="1" x14ac:dyDescent="0.35">
      <c r="A129" s="149" t="str">
        <f>PO_CPE!A77</f>
        <v>2.8.5</v>
      </c>
      <c r="B129" s="41" t="str">
        <f>PO_CPE!D77</f>
        <v>PERFIL REDUTOR PARA INTERFACE DE PISOS</v>
      </c>
      <c r="C129" s="384" t="str">
        <f>PO_CPE!E77</f>
        <v>M</v>
      </c>
      <c r="D129" s="151"/>
      <c r="E129" s="69"/>
      <c r="F129" s="185"/>
      <c r="G129" s="140"/>
      <c r="H129" s="187">
        <f>+SUM(H130:H131)</f>
        <v>18.841500000000003</v>
      </c>
      <c r="I129" s="182"/>
      <c r="J129" s="183"/>
      <c r="K129" s="187"/>
      <c r="L129" s="197"/>
      <c r="M129" s="187">
        <f>SUM(M130:M131)</f>
        <v>5.68</v>
      </c>
      <c r="N129" s="202">
        <f>+IF(A129&gt;0,SUM(H129:M129),0)</f>
        <v>24.521500000000003</v>
      </c>
    </row>
    <row r="130" spans="1:16" s="15" customFormat="1" ht="40.5" x14ac:dyDescent="0.35">
      <c r="A130" s="154"/>
      <c r="B130" s="41"/>
      <c r="C130" s="152"/>
      <c r="D130" s="37" t="s">
        <v>944</v>
      </c>
      <c r="E130" s="38" t="str">
        <f>+VLOOKUP(D130,Insumos_MAT!$B$8:$G$16489,2,0)</f>
        <v>M</v>
      </c>
      <c r="F130" s="184">
        <f>+VLOOKUP(D130,Insumos_MAT!$B$8:$G$16489,6,0)</f>
        <v>16.940000000000001</v>
      </c>
      <c r="G130" s="141">
        <v>1.05</v>
      </c>
      <c r="H130" s="184">
        <f>F130*G130</f>
        <v>17.787000000000003</v>
      </c>
      <c r="I130" s="37" t="s">
        <v>155</v>
      </c>
      <c r="J130" s="39" t="str">
        <f>+VLOOKUP(I130,Insumos_MO!$B$8:$F$3741,2,0)</f>
        <v>H</v>
      </c>
      <c r="K130" s="184">
        <f>+VLOOKUP(I130,Insumos_MO!$B$8:$G$18183,5,0)</f>
        <v>20.71</v>
      </c>
      <c r="L130" s="198">
        <v>0.15</v>
      </c>
      <c r="M130" s="184">
        <f>+ROUND(K130*L130,2)</f>
        <v>3.11</v>
      </c>
      <c r="N130" s="205"/>
      <c r="O130" s="3"/>
      <c r="P130" s="24"/>
    </row>
    <row r="131" spans="1:16" s="15" customFormat="1" ht="40.5" x14ac:dyDescent="0.35">
      <c r="A131" s="149"/>
      <c r="B131" s="41"/>
      <c r="C131" s="150"/>
      <c r="D131" s="37" t="s">
        <v>555</v>
      </c>
      <c r="E131" s="38" t="str">
        <f>+VLOOKUP(D131,Insumos_MAT!$B$8:$G$16489,2,0)</f>
        <v>KG</v>
      </c>
      <c r="F131" s="184">
        <f>+VLOOKUP(D131,Insumos_MAT!$B$8:$G$16489,6,0)</f>
        <v>21.09</v>
      </c>
      <c r="G131" s="141">
        <v>0.05</v>
      </c>
      <c r="H131" s="184">
        <f>F131*G131</f>
        <v>1.0545</v>
      </c>
      <c r="I131" s="37" t="s">
        <v>116</v>
      </c>
      <c r="J131" s="39" t="str">
        <f>+VLOOKUP(I131,Insumos_MO!$B$8:$F$3741,2,0)</f>
        <v>H</v>
      </c>
      <c r="K131" s="184">
        <f>+VLOOKUP(I131,Insumos_MO!$B$8:$G$18183,5,0)</f>
        <v>17.11</v>
      </c>
      <c r="L131" s="198">
        <v>0.15</v>
      </c>
      <c r="M131" s="184">
        <f>+ROUND(K131*L131,2)</f>
        <v>2.57</v>
      </c>
      <c r="N131" s="203"/>
      <c r="O131" s="3"/>
      <c r="P131" s="3"/>
    </row>
    <row r="132" spans="1:16" s="15" customFormat="1" x14ac:dyDescent="0.35">
      <c r="A132" s="149"/>
      <c r="B132" s="41"/>
      <c r="C132" s="150"/>
      <c r="D132" s="37"/>
      <c r="E132" s="38"/>
      <c r="F132" s="184"/>
      <c r="G132" s="141"/>
      <c r="H132" s="184"/>
      <c r="I132" s="151"/>
      <c r="J132" s="69"/>
      <c r="K132" s="185"/>
      <c r="L132" s="199"/>
      <c r="M132" s="185"/>
      <c r="N132" s="203"/>
      <c r="O132" s="3"/>
      <c r="P132" s="3"/>
    </row>
    <row r="133" spans="1:16" ht="24.75" customHeight="1" x14ac:dyDescent="0.35">
      <c r="A133" s="149" t="str">
        <f>PO_CPE!A96</f>
        <v>2.9.1.14</v>
      </c>
      <c r="B133" s="41" t="str">
        <f>PO_CPE!D96</f>
        <v>MINI DISJUNTOR TRIPOLAR, CAIXA MOLDADA 100A - 10,0KA-220 VCA</v>
      </c>
      <c r="C133" s="384" t="str">
        <f>PO_CPE!E96</f>
        <v>UNID.</v>
      </c>
      <c r="D133" s="151"/>
      <c r="E133" s="69"/>
      <c r="F133" s="185"/>
      <c r="G133" s="140"/>
      <c r="H133" s="187">
        <f>+SUM(H134:H135)</f>
        <v>413.18</v>
      </c>
      <c r="I133" s="182"/>
      <c r="J133" s="183"/>
      <c r="K133" s="187"/>
      <c r="L133" s="197"/>
      <c r="M133" s="187">
        <f>SUM(M134:M135)</f>
        <v>19.899999999999999</v>
      </c>
      <c r="N133" s="202">
        <f>+IF(A133&gt;0,SUM(H133:M133),0)</f>
        <v>433.08</v>
      </c>
    </row>
    <row r="134" spans="1:16" s="15" customFormat="1" ht="54" x14ac:dyDescent="0.35">
      <c r="A134" s="154"/>
      <c r="B134" s="41"/>
      <c r="C134" s="152"/>
      <c r="D134" s="37" t="s">
        <v>764</v>
      </c>
      <c r="E134" s="38" t="str">
        <f>+VLOOKUP(D134,Insumos_MAT!$B$8:$G$16489,2,0)</f>
        <v>UNID.</v>
      </c>
      <c r="F134" s="184">
        <f>+VLOOKUP(D134,Insumos_MAT!$B$8:$G$16489,6,0)</f>
        <v>413.18</v>
      </c>
      <c r="G134" s="141">
        <v>1</v>
      </c>
      <c r="H134" s="184">
        <f>F134*G134</f>
        <v>413.18</v>
      </c>
      <c r="I134" s="37" t="s">
        <v>449</v>
      </c>
      <c r="J134" s="39" t="str">
        <f>+VLOOKUP(I134,Insumos_MO!$B$8:$F$3741,2,0)</f>
        <v>H</v>
      </c>
      <c r="K134" s="184">
        <f>+VLOOKUP(I134,Insumos_MO!$B$8:$G$18183,5,0)</f>
        <v>17.170000000000002</v>
      </c>
      <c r="L134" s="198">
        <v>0.5</v>
      </c>
      <c r="M134" s="184">
        <f>+ROUND(K134*L134,2)</f>
        <v>8.59</v>
      </c>
      <c r="N134" s="205"/>
      <c r="O134" s="3"/>
      <c r="P134" s="24"/>
    </row>
    <row r="135" spans="1:16" s="15" customFormat="1" ht="40.5" x14ac:dyDescent="0.35">
      <c r="A135" s="149"/>
      <c r="B135" s="41"/>
      <c r="C135" s="150"/>
      <c r="D135" s="37"/>
      <c r="E135" s="38"/>
      <c r="F135" s="184"/>
      <c r="G135" s="141"/>
      <c r="H135" s="184"/>
      <c r="I135" s="37" t="s">
        <v>380</v>
      </c>
      <c r="J135" s="39" t="str">
        <f>+VLOOKUP(I135,Insumos_MO!$B$8:$F$3741,2,0)</f>
        <v>H</v>
      </c>
      <c r="K135" s="184">
        <f>+VLOOKUP(I135,Insumos_MO!$B$8:$G$18183,5,0)</f>
        <v>22.61</v>
      </c>
      <c r="L135" s="198">
        <v>0.5</v>
      </c>
      <c r="M135" s="184">
        <f>+ROUND(K135*L135,2)</f>
        <v>11.31</v>
      </c>
      <c r="N135" s="203"/>
      <c r="O135" s="3"/>
      <c r="P135" s="3"/>
    </row>
    <row r="136" spans="1:16" s="15" customFormat="1" x14ac:dyDescent="0.35">
      <c r="A136" s="149"/>
      <c r="B136" s="41"/>
      <c r="C136" s="150"/>
      <c r="D136" s="37"/>
      <c r="E136" s="38"/>
      <c r="F136" s="184"/>
      <c r="G136" s="141"/>
      <c r="H136" s="184"/>
      <c r="I136" s="151"/>
      <c r="J136" s="69"/>
      <c r="K136" s="185"/>
      <c r="L136" s="199"/>
      <c r="M136" s="185"/>
      <c r="N136" s="203"/>
      <c r="O136" s="3"/>
      <c r="P136" s="3"/>
    </row>
    <row r="137" spans="1:16" ht="24.75" customHeight="1" x14ac:dyDescent="0.35">
      <c r="A137" s="149" t="str">
        <f>PO_CPE!A97</f>
        <v>2.9.1.15</v>
      </c>
      <c r="B137" s="41" t="str">
        <f>PO_CPE!D97</f>
        <v>MINI DISJUNTOR TRIPOLAR, CAIXA MOLDADA 200A - 10,0KA-220 VCA</v>
      </c>
      <c r="C137" s="384" t="str">
        <f>PO_CPE!E97</f>
        <v>UNID.</v>
      </c>
      <c r="D137" s="151"/>
      <c r="E137" s="69"/>
      <c r="F137" s="185"/>
      <c r="G137" s="140"/>
      <c r="H137" s="187">
        <f>+SUM(H138:H139)</f>
        <v>1343.71</v>
      </c>
      <c r="I137" s="182"/>
      <c r="J137" s="183"/>
      <c r="K137" s="187"/>
      <c r="L137" s="197"/>
      <c r="M137" s="187">
        <f>SUM(M138:M139)</f>
        <v>19.899999999999999</v>
      </c>
      <c r="N137" s="202">
        <f>+IF(A137&gt;0,SUM(H137:M137),0)</f>
        <v>1363.6100000000001</v>
      </c>
    </row>
    <row r="138" spans="1:16" s="15" customFormat="1" ht="54" x14ac:dyDescent="0.35">
      <c r="A138" s="154"/>
      <c r="B138" s="41"/>
      <c r="C138" s="152"/>
      <c r="D138" s="37" t="s">
        <v>765</v>
      </c>
      <c r="E138" s="38" t="str">
        <f>+VLOOKUP(D138,Insumos_MAT!$B$8:$G$16489,2,0)</f>
        <v>UNID.</v>
      </c>
      <c r="F138" s="184">
        <f>+VLOOKUP(D138,Insumos_MAT!$B$8:$G$16489,6,0)</f>
        <v>1343.71</v>
      </c>
      <c r="G138" s="141">
        <v>1</v>
      </c>
      <c r="H138" s="184">
        <f>F138*G138</f>
        <v>1343.71</v>
      </c>
      <c r="I138" s="37" t="s">
        <v>449</v>
      </c>
      <c r="J138" s="39" t="str">
        <f>+VLOOKUP(I138,Insumos_MO!$B$8:$F$3741,2,0)</f>
        <v>H</v>
      </c>
      <c r="K138" s="184">
        <f>+VLOOKUP(I138,Insumos_MO!$B$8:$G$18183,5,0)</f>
        <v>17.170000000000002</v>
      </c>
      <c r="L138" s="198">
        <v>0.5</v>
      </c>
      <c r="M138" s="184">
        <f>+ROUND(K138*L138,2)</f>
        <v>8.59</v>
      </c>
      <c r="N138" s="205"/>
      <c r="O138" s="3"/>
      <c r="P138" s="24"/>
    </row>
    <row r="139" spans="1:16" s="15" customFormat="1" ht="40.5" x14ac:dyDescent="0.35">
      <c r="A139" s="149"/>
      <c r="B139" s="41"/>
      <c r="C139" s="150"/>
      <c r="D139" s="37"/>
      <c r="E139" s="38"/>
      <c r="F139" s="184"/>
      <c r="G139" s="141"/>
      <c r="H139" s="184"/>
      <c r="I139" s="37" t="s">
        <v>380</v>
      </c>
      <c r="J139" s="39" t="str">
        <f>+VLOOKUP(I139,Insumos_MO!$B$8:$F$3741,2,0)</f>
        <v>H</v>
      </c>
      <c r="K139" s="184">
        <f>+VLOOKUP(I139,Insumos_MO!$B$8:$G$18183,5,0)</f>
        <v>22.61</v>
      </c>
      <c r="L139" s="198">
        <v>0.5</v>
      </c>
      <c r="M139" s="184">
        <f>+ROUND(K139*L139,2)</f>
        <v>11.31</v>
      </c>
      <c r="N139" s="203"/>
      <c r="O139" s="3"/>
      <c r="P139" s="3"/>
    </row>
    <row r="140" spans="1:16" s="15" customFormat="1" x14ac:dyDescent="0.35">
      <c r="A140" s="149"/>
      <c r="B140" s="41"/>
      <c r="C140" s="150"/>
      <c r="D140" s="37"/>
      <c r="E140" s="38"/>
      <c r="F140" s="184"/>
      <c r="G140" s="141"/>
      <c r="H140" s="184"/>
      <c r="I140" s="151"/>
      <c r="J140" s="69"/>
      <c r="K140" s="185"/>
      <c r="L140" s="199"/>
      <c r="M140" s="185"/>
      <c r="N140" s="203"/>
      <c r="O140" s="3"/>
      <c r="P140" s="3"/>
    </row>
    <row r="141" spans="1:16" ht="24.75" customHeight="1" x14ac:dyDescent="0.35">
      <c r="A141" s="149" t="str">
        <f>PO_CPE!A230</f>
        <v>2.14.21</v>
      </c>
      <c r="B141" s="41" t="str">
        <f>PO_CPE!D230</f>
        <v>DISJUNTOR  TRIPOLAR CURVA C - 16A - 5SX1 - SIEMENS</v>
      </c>
      <c r="C141" s="384" t="str">
        <f>PO_CPE!E230</f>
        <v>UNID.</v>
      </c>
      <c r="D141" s="151"/>
      <c r="E141" s="69"/>
      <c r="F141" s="185"/>
      <c r="G141" s="140"/>
      <c r="H141" s="187">
        <f>+SUM(H142:H143)</f>
        <v>66.150000000000006</v>
      </c>
      <c r="I141" s="182"/>
      <c r="J141" s="183"/>
      <c r="K141" s="187"/>
      <c r="L141" s="197"/>
      <c r="M141" s="187">
        <f>SUM(M142:M143)</f>
        <v>5.9700000000000006</v>
      </c>
      <c r="N141" s="202">
        <f>+IF(A141&gt;0,SUM(H141:M141),0)</f>
        <v>72.12</v>
      </c>
    </row>
    <row r="142" spans="1:16" s="15" customFormat="1" ht="54" x14ac:dyDescent="0.35">
      <c r="A142" s="154"/>
      <c r="B142" s="41"/>
      <c r="C142" s="152"/>
      <c r="D142" s="37" t="str">
        <f>B141</f>
        <v>DISJUNTOR  TRIPOLAR CURVA C - 16A - 5SX1 - SIEMENS</v>
      </c>
      <c r="E142" s="38" t="str">
        <f>+VLOOKUP(D142,Insumos_MAT!$B$8:$G$16489,2,0)</f>
        <v>UNID.</v>
      </c>
      <c r="F142" s="184">
        <f>+VLOOKUP(D142,Insumos_MAT!$B$8:$G$16489,6,0)</f>
        <v>66.150000000000006</v>
      </c>
      <c r="G142" s="141">
        <v>1</v>
      </c>
      <c r="H142" s="184">
        <f>F142*G142</f>
        <v>66.150000000000006</v>
      </c>
      <c r="I142" s="37" t="s">
        <v>449</v>
      </c>
      <c r="J142" s="39" t="str">
        <f>+VLOOKUP(I142,Insumos_MO!$B$8:$F$3741,2,0)</f>
        <v>H</v>
      </c>
      <c r="K142" s="184">
        <f>+VLOOKUP(I142,Insumos_MO!$B$8:$G$18183,5,0)</f>
        <v>17.170000000000002</v>
      </c>
      <c r="L142" s="198">
        <v>0.15</v>
      </c>
      <c r="M142" s="184">
        <f>+ROUND(K142*L142,2)</f>
        <v>2.58</v>
      </c>
      <c r="N142" s="205"/>
      <c r="O142" s="3"/>
      <c r="P142" s="24"/>
    </row>
    <row r="143" spans="1:16" s="15" customFormat="1" ht="40.5" x14ac:dyDescent="0.35">
      <c r="A143" s="149"/>
      <c r="B143" s="41"/>
      <c r="C143" s="150"/>
      <c r="D143" s="37"/>
      <c r="E143" s="38"/>
      <c r="F143" s="184"/>
      <c r="G143" s="141"/>
      <c r="H143" s="184"/>
      <c r="I143" s="37" t="s">
        <v>380</v>
      </c>
      <c r="J143" s="39" t="str">
        <f>+VLOOKUP(I143,Insumos_MO!$B$8:$F$3741,2,0)</f>
        <v>H</v>
      </c>
      <c r="K143" s="184">
        <f>+VLOOKUP(I143,Insumos_MO!$B$8:$G$18183,5,0)</f>
        <v>22.61</v>
      </c>
      <c r="L143" s="198">
        <v>0.15</v>
      </c>
      <c r="M143" s="184">
        <f>+ROUND(K143*L143,2)</f>
        <v>3.39</v>
      </c>
      <c r="N143" s="203"/>
      <c r="O143" s="3"/>
      <c r="P143" s="3"/>
    </row>
    <row r="144" spans="1:16" s="15" customFormat="1" x14ac:dyDescent="0.35">
      <c r="A144" s="149"/>
      <c r="B144" s="41"/>
      <c r="C144" s="150"/>
      <c r="D144" s="37"/>
      <c r="E144" s="38"/>
      <c r="F144" s="184"/>
      <c r="G144" s="141"/>
      <c r="H144" s="184"/>
      <c r="I144" s="151"/>
      <c r="J144" s="69"/>
      <c r="K144" s="185"/>
      <c r="L144" s="199"/>
      <c r="M144" s="185"/>
      <c r="N144" s="203"/>
      <c r="O144" s="3"/>
      <c r="P144" s="3"/>
    </row>
    <row r="145" spans="1:16" ht="24.75" customHeight="1" x14ac:dyDescent="0.35">
      <c r="A145" s="149" t="str">
        <f>PO_CPE!A231</f>
        <v>2.14.22</v>
      </c>
      <c r="B145" s="41" t="str">
        <f>PO_CPE!D231</f>
        <v>DISJUNTOR  MONOPOLAR CURVA C - 6A - 5SX1 - SIEMENS</v>
      </c>
      <c r="C145" s="384" t="str">
        <f>PO_CPE!E231</f>
        <v>UNID.</v>
      </c>
      <c r="D145" s="151"/>
      <c r="E145" s="69"/>
      <c r="F145" s="185"/>
      <c r="G145" s="140"/>
      <c r="H145" s="187">
        <f>+SUM(H146:H147)</f>
        <v>38.68</v>
      </c>
      <c r="I145" s="182"/>
      <c r="J145" s="183"/>
      <c r="K145" s="187"/>
      <c r="L145" s="197"/>
      <c r="M145" s="187">
        <f>SUM(M146:M147)</f>
        <v>5.9700000000000006</v>
      </c>
      <c r="N145" s="202">
        <f>+IF(A145&gt;0,SUM(H145:M145),0)</f>
        <v>44.65</v>
      </c>
    </row>
    <row r="146" spans="1:16" s="15" customFormat="1" ht="54" x14ac:dyDescent="0.35">
      <c r="A146" s="154"/>
      <c r="B146" s="41"/>
      <c r="C146" s="152"/>
      <c r="D146" s="37" t="str">
        <f>B145</f>
        <v>DISJUNTOR  MONOPOLAR CURVA C - 6A - 5SX1 - SIEMENS</v>
      </c>
      <c r="E146" s="38" t="str">
        <f>+VLOOKUP(D146,Insumos_MAT!$B$8:$G$16489,2,0)</f>
        <v>UNID.</v>
      </c>
      <c r="F146" s="184">
        <f>+VLOOKUP(D146,Insumos_MAT!$B$8:$G$16489,6,0)</f>
        <v>38.68</v>
      </c>
      <c r="G146" s="141">
        <v>1</v>
      </c>
      <c r="H146" s="184">
        <f>F146*G146</f>
        <v>38.68</v>
      </c>
      <c r="I146" s="37" t="s">
        <v>449</v>
      </c>
      <c r="J146" s="39" t="str">
        <f>+VLOOKUP(I146,Insumos_MO!$B$8:$F$3741,2,0)</f>
        <v>H</v>
      </c>
      <c r="K146" s="184">
        <f>+VLOOKUP(I146,Insumos_MO!$B$8:$G$18183,5,0)</f>
        <v>17.170000000000002</v>
      </c>
      <c r="L146" s="198">
        <v>0.15</v>
      </c>
      <c r="M146" s="184">
        <f>+ROUND(K146*L146,2)</f>
        <v>2.58</v>
      </c>
      <c r="N146" s="205"/>
      <c r="O146" s="3"/>
      <c r="P146" s="24"/>
    </row>
    <row r="147" spans="1:16" s="15" customFormat="1" ht="40.5" x14ac:dyDescent="0.35">
      <c r="A147" s="149"/>
      <c r="B147" s="41"/>
      <c r="C147" s="150"/>
      <c r="D147" s="37"/>
      <c r="E147" s="38"/>
      <c r="F147" s="184"/>
      <c r="G147" s="141"/>
      <c r="H147" s="184"/>
      <c r="I147" s="37" t="s">
        <v>380</v>
      </c>
      <c r="J147" s="39" t="str">
        <f>+VLOOKUP(I147,Insumos_MO!$B$8:$F$3741,2,0)</f>
        <v>H</v>
      </c>
      <c r="K147" s="184">
        <f>+VLOOKUP(I147,Insumos_MO!$B$8:$G$18183,5,0)</f>
        <v>22.61</v>
      </c>
      <c r="L147" s="198">
        <v>0.15</v>
      </c>
      <c r="M147" s="184">
        <f>+ROUND(K147*L147,2)</f>
        <v>3.39</v>
      </c>
      <c r="N147" s="203"/>
      <c r="O147" s="3"/>
      <c r="P147" s="3"/>
    </row>
    <row r="148" spans="1:16" s="15" customFormat="1" x14ac:dyDescent="0.35">
      <c r="A148" s="149"/>
      <c r="B148" s="41"/>
      <c r="C148" s="150"/>
      <c r="D148" s="37"/>
      <c r="E148" s="38"/>
      <c r="F148" s="184"/>
      <c r="G148" s="141"/>
      <c r="H148" s="184"/>
      <c r="I148" s="151"/>
      <c r="J148" s="69"/>
      <c r="K148" s="185"/>
      <c r="L148" s="199"/>
      <c r="M148" s="185"/>
      <c r="N148" s="203"/>
      <c r="O148" s="3"/>
      <c r="P148" s="3"/>
    </row>
    <row r="149" spans="1:16" ht="24.75" customHeight="1" x14ac:dyDescent="0.35">
      <c r="A149" s="149" t="str">
        <f>PO_CPE!A98</f>
        <v>2.9.1.16</v>
      </c>
      <c r="B149" s="41" t="str">
        <f>PO_CPE!D98</f>
        <v>INTERRUPTOR DE CORRENTE DIFERENCIAL (DR) 2X25 A / 30MA</v>
      </c>
      <c r="C149" s="384" t="str">
        <f>PO_CPE!E98</f>
        <v>UNID.</v>
      </c>
      <c r="D149" s="151"/>
      <c r="E149" s="69"/>
      <c r="F149" s="185"/>
      <c r="G149" s="140"/>
      <c r="H149" s="187">
        <f>+SUM(H150:H151)</f>
        <v>145.04</v>
      </c>
      <c r="I149" s="182"/>
      <c r="J149" s="183"/>
      <c r="K149" s="187"/>
      <c r="L149" s="197"/>
      <c r="M149" s="187">
        <f>SUM(M150:M151)</f>
        <v>9.9400000000000013</v>
      </c>
      <c r="N149" s="202">
        <f>+IF(A149&gt;0,SUM(H149:M149),0)</f>
        <v>154.97999999999999</v>
      </c>
    </row>
    <row r="150" spans="1:16" s="15" customFormat="1" ht="54" x14ac:dyDescent="0.35">
      <c r="A150" s="154"/>
      <c r="B150" s="41"/>
      <c r="C150" s="152"/>
      <c r="D150" s="37" t="s">
        <v>894</v>
      </c>
      <c r="E150" s="38" t="str">
        <f>+VLOOKUP(D150,Insumos_MAT!$B$8:$G$16489,2,0)</f>
        <v>UNID.</v>
      </c>
      <c r="F150" s="184">
        <f>+VLOOKUP(D150,Insumos_MAT!$B$8:$G$16489,6,0)</f>
        <v>145.04</v>
      </c>
      <c r="G150" s="141">
        <v>1</v>
      </c>
      <c r="H150" s="184">
        <f>F150*G150</f>
        <v>145.04</v>
      </c>
      <c r="I150" s="37" t="s">
        <v>449</v>
      </c>
      <c r="J150" s="39" t="str">
        <f>+VLOOKUP(I150,Insumos_MO!$B$8:$F$3741,2,0)</f>
        <v>H</v>
      </c>
      <c r="K150" s="184">
        <f>+VLOOKUP(I150,Insumos_MO!$B$8:$G$18183,5,0)</f>
        <v>17.170000000000002</v>
      </c>
      <c r="L150" s="198">
        <v>0.25</v>
      </c>
      <c r="M150" s="184">
        <f>+ROUND(K150*L150,2)</f>
        <v>4.29</v>
      </c>
      <c r="N150" s="205"/>
      <c r="O150" s="3"/>
      <c r="P150" s="24"/>
    </row>
    <row r="151" spans="1:16" s="15" customFormat="1" ht="40.5" x14ac:dyDescent="0.35">
      <c r="A151" s="149"/>
      <c r="B151" s="41"/>
      <c r="C151" s="150"/>
      <c r="D151" s="37"/>
      <c r="E151" s="38"/>
      <c r="F151" s="184"/>
      <c r="G151" s="141"/>
      <c r="H151" s="184"/>
      <c r="I151" s="37" t="s">
        <v>380</v>
      </c>
      <c r="J151" s="39" t="str">
        <f>+VLOOKUP(I151,Insumos_MO!$B$8:$F$3741,2,0)</f>
        <v>H</v>
      </c>
      <c r="K151" s="184">
        <f>+VLOOKUP(I151,Insumos_MO!$B$8:$G$18183,5,0)</f>
        <v>22.61</v>
      </c>
      <c r="L151" s="198">
        <v>0.25</v>
      </c>
      <c r="M151" s="184">
        <f>+ROUND(K151*L151,2)</f>
        <v>5.65</v>
      </c>
      <c r="N151" s="203"/>
      <c r="O151" s="3"/>
      <c r="P151" s="3"/>
    </row>
    <row r="152" spans="1:16" s="15" customFormat="1" x14ac:dyDescent="0.35">
      <c r="A152" s="149"/>
      <c r="B152" s="41"/>
      <c r="C152" s="150"/>
      <c r="D152" s="37"/>
      <c r="E152" s="38"/>
      <c r="F152" s="184"/>
      <c r="G152" s="141"/>
      <c r="H152" s="184"/>
      <c r="I152" s="151"/>
      <c r="J152" s="69"/>
      <c r="K152" s="185"/>
      <c r="L152" s="199"/>
      <c r="M152" s="185"/>
      <c r="N152" s="203"/>
      <c r="O152" s="3"/>
      <c r="P152" s="3"/>
    </row>
    <row r="153" spans="1:16" ht="44.25" customHeight="1" x14ac:dyDescent="0.35">
      <c r="A153" s="149" t="str">
        <f>PO_CPE!A99</f>
        <v>2.9.1.17</v>
      </c>
      <c r="B153" s="41" t="str">
        <f>PO_CPE!D99</f>
        <v>DISPOSITIVO DE PROTEÇÃO CONTRA SURTOS DE CORRENTE - 20KA-185V</v>
      </c>
      <c r="C153" s="384" t="str">
        <f>PO_CPE!E99</f>
        <v>UNID.</v>
      </c>
      <c r="D153" s="151"/>
      <c r="E153" s="69"/>
      <c r="F153" s="185"/>
      <c r="G153" s="140"/>
      <c r="H153" s="187">
        <f>+SUM(H154:H155)</f>
        <v>70.48</v>
      </c>
      <c r="I153" s="182"/>
      <c r="J153" s="183"/>
      <c r="K153" s="187"/>
      <c r="L153" s="197"/>
      <c r="M153" s="187">
        <f>SUM(M154:M155)</f>
        <v>9.9400000000000013</v>
      </c>
      <c r="N153" s="202">
        <f>+IF(A153&gt;0,SUM(H153:M153),0)</f>
        <v>80.42</v>
      </c>
    </row>
    <row r="154" spans="1:16" s="15" customFormat="1" ht="67.5" x14ac:dyDescent="0.35">
      <c r="A154" s="154"/>
      <c r="B154" s="41"/>
      <c r="C154" s="152"/>
      <c r="D154" s="37" t="s">
        <v>896</v>
      </c>
      <c r="E154" s="38" t="str">
        <f>+VLOOKUP(D154,Insumos_MAT!$B$8:$G$16489,2,0)</f>
        <v>UNID.</v>
      </c>
      <c r="F154" s="184">
        <f>+VLOOKUP(D154,Insumos_MAT!$B$8:$G$16489,6,0)</f>
        <v>70.48</v>
      </c>
      <c r="G154" s="141">
        <v>1</v>
      </c>
      <c r="H154" s="184">
        <f>F154*G154</f>
        <v>70.48</v>
      </c>
      <c r="I154" s="37" t="s">
        <v>449</v>
      </c>
      <c r="J154" s="39" t="str">
        <f>+VLOOKUP(I154,Insumos_MO!$B$8:$F$3741,2,0)</f>
        <v>H</v>
      </c>
      <c r="K154" s="184">
        <f>+VLOOKUP(I154,Insumos_MO!$B$8:$G$18183,5,0)</f>
        <v>17.170000000000002</v>
      </c>
      <c r="L154" s="198">
        <v>0.25</v>
      </c>
      <c r="M154" s="184">
        <f>+ROUND(K154*L154,2)</f>
        <v>4.29</v>
      </c>
      <c r="N154" s="205"/>
      <c r="O154" s="3"/>
      <c r="P154" s="24"/>
    </row>
    <row r="155" spans="1:16" s="15" customFormat="1" ht="40.5" x14ac:dyDescent="0.35">
      <c r="A155" s="149"/>
      <c r="B155" s="41"/>
      <c r="C155" s="150"/>
      <c r="D155" s="37"/>
      <c r="E155" s="38"/>
      <c r="F155" s="184"/>
      <c r="G155" s="141"/>
      <c r="H155" s="184"/>
      <c r="I155" s="37" t="s">
        <v>380</v>
      </c>
      <c r="J155" s="39" t="str">
        <f>+VLOOKUP(I155,Insumos_MO!$B$8:$F$3741,2,0)</f>
        <v>H</v>
      </c>
      <c r="K155" s="184">
        <f>+VLOOKUP(I155,Insumos_MO!$B$8:$G$18183,5,0)</f>
        <v>22.61</v>
      </c>
      <c r="L155" s="198">
        <v>0.25</v>
      </c>
      <c r="M155" s="184">
        <f>+ROUND(K155*L155,2)</f>
        <v>5.65</v>
      </c>
      <c r="N155" s="203"/>
      <c r="O155" s="3"/>
      <c r="P155" s="3"/>
    </row>
    <row r="156" spans="1:16" s="15" customFormat="1" x14ac:dyDescent="0.35">
      <c r="A156" s="149"/>
      <c r="B156" s="41"/>
      <c r="C156" s="150"/>
      <c r="D156" s="37"/>
      <c r="E156" s="38"/>
      <c r="F156" s="184"/>
      <c r="G156" s="141"/>
      <c r="H156" s="184"/>
      <c r="I156" s="151"/>
      <c r="J156" s="69"/>
      <c r="K156" s="185"/>
      <c r="L156" s="199"/>
      <c r="M156" s="185"/>
      <c r="N156" s="203"/>
      <c r="O156" s="3"/>
      <c r="P156" s="3"/>
    </row>
    <row r="157" spans="1:16" ht="102.75" customHeight="1" x14ac:dyDescent="0.35">
      <c r="A157" s="149" t="str">
        <f>PO_CPE!A107</f>
        <v>2.9.1.25</v>
      </c>
      <c r="B157" s="41" t="str">
        <f>PO_CPE!D107</f>
        <v>LUMINÁRIA SOBREPOR PARA 2 LÂMPADAS T8 32W, CORPO EM CHAPA DE AÇO, PINTURA A PÓ ELETROSTÁTICO COR BRANCA. REFLETOR E ALETAS PARABÓLICAS EM ALUMÍNIO ANODIZADO BRILHANTE. REF. RESMINI MR500 OU EQUIVALENTE TÉCNICO, COMPLETA</v>
      </c>
      <c r="C157" s="152" t="str">
        <f>PO_CPE!E107</f>
        <v>UNID.</v>
      </c>
      <c r="D157" s="151"/>
      <c r="E157" s="69"/>
      <c r="F157" s="185"/>
      <c r="G157" s="140"/>
      <c r="H157" s="187">
        <f>+SUM(H158:H161)</f>
        <v>183.76000000000002</v>
      </c>
      <c r="I157" s="182"/>
      <c r="J157" s="183"/>
      <c r="K157" s="187"/>
      <c r="L157" s="197"/>
      <c r="M157" s="187">
        <f>SUM(M158:M161)</f>
        <v>27.089999999999996</v>
      </c>
      <c r="N157" s="202">
        <f>+IF(A157&gt;0,SUM(H157:M157),0)</f>
        <v>210.85000000000002</v>
      </c>
    </row>
    <row r="158" spans="1:16" s="15" customFormat="1" ht="162" x14ac:dyDescent="0.35">
      <c r="A158" s="154"/>
      <c r="B158" s="41"/>
      <c r="C158" s="152"/>
      <c r="D158" s="37" t="s">
        <v>557</v>
      </c>
      <c r="E158" s="38" t="str">
        <f>+VLOOKUP(D158,Insumos_MAT!$B$8:$G$16489,2,0)</f>
        <v>UNID.</v>
      </c>
      <c r="F158" s="184">
        <f>+VLOOKUP(D158,Insumos_MAT!$B$8:$G$16489,6,0)</f>
        <v>120</v>
      </c>
      <c r="G158" s="141">
        <v>1</v>
      </c>
      <c r="H158" s="184">
        <f>F158*G158</f>
        <v>120</v>
      </c>
      <c r="I158" s="37" t="s">
        <v>449</v>
      </c>
      <c r="J158" s="39" t="str">
        <f>+VLOOKUP(I158,Insumos_MO!$B$8:$F$3741,2,0)</f>
        <v>H</v>
      </c>
      <c r="K158" s="184">
        <f>+VLOOKUP(I158,Insumos_MO!$B$8:$G$18183,5,0)</f>
        <v>17.170000000000002</v>
      </c>
      <c r="L158" s="198">
        <f>0.1727+0.1033*2</f>
        <v>0.37929999999999997</v>
      </c>
      <c r="M158" s="184">
        <f>+ROUND(K158*L158,2)</f>
        <v>6.51</v>
      </c>
      <c r="N158" s="205"/>
      <c r="O158" s="3"/>
      <c r="P158" s="24"/>
    </row>
    <row r="159" spans="1:16" s="15" customFormat="1" ht="67.5" x14ac:dyDescent="0.35">
      <c r="A159" s="154"/>
      <c r="B159" s="41"/>
      <c r="C159" s="152"/>
      <c r="D159" s="37" t="s">
        <v>562</v>
      </c>
      <c r="E159" s="38" t="str">
        <f>+VLOOKUP(D159,Insumos_MAT!$B$8:$G$16489,2,0)</f>
        <v>UNID.</v>
      </c>
      <c r="F159" s="184">
        <f>+VLOOKUP(D159,Insumos_MAT!$B$8:$G$16489,6,0)</f>
        <v>31.86</v>
      </c>
      <c r="G159" s="141">
        <v>1</v>
      </c>
      <c r="H159" s="184">
        <f t="shared" ref="H159:H161" si="0">F159*G159</f>
        <v>31.86</v>
      </c>
      <c r="I159" s="37" t="s">
        <v>380</v>
      </c>
      <c r="J159" s="39" t="str">
        <f>+VLOOKUP(I159,Insumos_MO!$B$8:$F$3741,2,0)</f>
        <v>H</v>
      </c>
      <c r="K159" s="184">
        <f>+VLOOKUP(I159,Insumos_MO!$B$8:$G$18183,5,0)</f>
        <v>22.61</v>
      </c>
      <c r="L159" s="198">
        <f>0.4144+0.2478*2</f>
        <v>0.90999999999999992</v>
      </c>
      <c r="M159" s="184">
        <f>+ROUND(K159*L159,2)</f>
        <v>20.58</v>
      </c>
      <c r="N159" s="205"/>
      <c r="O159" s="3"/>
      <c r="P159" s="24"/>
    </row>
    <row r="160" spans="1:16" s="15" customFormat="1" ht="40.5" x14ac:dyDescent="0.35">
      <c r="A160" s="154"/>
      <c r="B160" s="41"/>
      <c r="C160" s="152"/>
      <c r="D160" s="37" t="s">
        <v>560</v>
      </c>
      <c r="E160" s="38" t="str">
        <f>+VLOOKUP(D160,Insumos_MAT!$B$8:$G$16489,2,0)</f>
        <v>UNID.</v>
      </c>
      <c r="F160" s="184">
        <f>+VLOOKUP(D160,Insumos_MAT!$B$8:$G$16489,6,0)</f>
        <v>3.14</v>
      </c>
      <c r="G160" s="141">
        <v>4</v>
      </c>
      <c r="H160" s="184">
        <f t="shared" si="0"/>
        <v>12.56</v>
      </c>
      <c r="I160" s="37"/>
      <c r="J160" s="39"/>
      <c r="K160" s="184"/>
      <c r="L160" s="198"/>
      <c r="M160" s="184"/>
      <c r="N160" s="205"/>
      <c r="O160" s="3"/>
      <c r="P160" s="24"/>
    </row>
    <row r="161" spans="1:16" s="15" customFormat="1" ht="40.5" x14ac:dyDescent="0.35">
      <c r="A161" s="149"/>
      <c r="B161" s="41"/>
      <c r="C161" s="150"/>
      <c r="D161" s="37" t="s">
        <v>558</v>
      </c>
      <c r="E161" s="38" t="str">
        <f>+VLOOKUP(D161,Insumos_MAT!$B$8:$G$16489,2,0)</f>
        <v>UNID.</v>
      </c>
      <c r="F161" s="184">
        <f>+VLOOKUP(D161,Insumos_MAT!$B$8:$G$16489,6,0)</f>
        <v>9.67</v>
      </c>
      <c r="G161" s="141">
        <v>2</v>
      </c>
      <c r="H161" s="184">
        <f t="shared" si="0"/>
        <v>19.34</v>
      </c>
      <c r="I161" s="37"/>
      <c r="J161" s="39"/>
      <c r="K161" s="184"/>
      <c r="L161" s="198"/>
      <c r="M161" s="184"/>
      <c r="N161" s="203"/>
      <c r="O161" s="3"/>
      <c r="P161" s="3"/>
    </row>
    <row r="162" spans="1:16" s="15" customFormat="1" x14ac:dyDescent="0.35">
      <c r="A162" s="149"/>
      <c r="B162" s="41"/>
      <c r="C162" s="150"/>
      <c r="D162" s="37"/>
      <c r="E162" s="38"/>
      <c r="F162" s="184"/>
      <c r="G162" s="141"/>
      <c r="H162" s="184"/>
      <c r="I162" s="151"/>
      <c r="J162" s="69"/>
      <c r="K162" s="185"/>
      <c r="L162" s="199"/>
      <c r="M162" s="185"/>
      <c r="N162" s="203"/>
      <c r="O162" s="3"/>
      <c r="P162" s="3"/>
    </row>
    <row r="163" spans="1:16" ht="40.5" x14ac:dyDescent="0.35">
      <c r="A163" s="149" t="str">
        <f>PO_CPE!A108</f>
        <v>2.9.1.26</v>
      </c>
      <c r="B163" s="41" t="str">
        <f>PO_CPE!D108</f>
        <v>RETIRADA, LIMPEZA E RECOLOCAÇÃO DE LUMINÁRIA DE SOBREPOR RESMINI MR 500</v>
      </c>
      <c r="C163" s="152" t="str">
        <f>PO_CPE!E108</f>
        <v>UNID.</v>
      </c>
      <c r="D163" s="151"/>
      <c r="E163" s="69"/>
      <c r="F163" s="185"/>
      <c r="G163" s="140"/>
      <c r="H163" s="187">
        <f>+SUM(H164:H165)</f>
        <v>0.54</v>
      </c>
      <c r="I163" s="182"/>
      <c r="J163" s="183"/>
      <c r="K163" s="187"/>
      <c r="L163" s="197"/>
      <c r="M163" s="187">
        <f>SUM(M164:M165)</f>
        <v>28.020000000000003</v>
      </c>
      <c r="N163" s="202">
        <f>+IF(A163&gt;0,SUM(H163:M163),0)</f>
        <v>28.560000000000002</v>
      </c>
    </row>
    <row r="164" spans="1:16" s="15" customFormat="1" ht="54" x14ac:dyDescent="0.35">
      <c r="A164" s="154"/>
      <c r="B164" s="41"/>
      <c r="C164" s="152"/>
      <c r="D164" s="37" t="s">
        <v>564</v>
      </c>
      <c r="E164" s="38" t="str">
        <f>+VLOOKUP(D164,Insumos_MAT!$B$8:$G$16489,2,0)</f>
        <v>L</v>
      </c>
      <c r="F164" s="184">
        <f>+VLOOKUP(D164,Insumos_MAT!$B$8:$G$16489,6,0)</f>
        <v>7.2</v>
      </c>
      <c r="G164" s="141">
        <v>7.4999999999999997E-2</v>
      </c>
      <c r="H164" s="184">
        <f>F164*G164</f>
        <v>0.54</v>
      </c>
      <c r="I164" s="37" t="s">
        <v>449</v>
      </c>
      <c r="J164" s="39" t="str">
        <f>+VLOOKUP(I164,Insumos_MO!$B$8:$F$3741,2,0)</f>
        <v>H</v>
      </c>
      <c r="K164" s="184">
        <f>+VLOOKUP(I164,Insumos_MO!$B$8:$G$18183,5,0)</f>
        <v>17.170000000000002</v>
      </c>
      <c r="L164" s="198">
        <v>1.5</v>
      </c>
      <c r="M164" s="184">
        <f>+ROUND(K164*L164,2)</f>
        <v>25.76</v>
      </c>
      <c r="N164" s="205"/>
      <c r="O164" s="3"/>
      <c r="P164" s="24"/>
    </row>
    <row r="165" spans="1:16" s="15" customFormat="1" ht="40.5" x14ac:dyDescent="0.35">
      <c r="A165" s="154"/>
      <c r="B165" s="41"/>
      <c r="C165" s="152"/>
      <c r="D165" s="37"/>
      <c r="E165" s="38"/>
      <c r="F165" s="184"/>
      <c r="G165" s="141"/>
      <c r="H165" s="184"/>
      <c r="I165" s="37" t="s">
        <v>380</v>
      </c>
      <c r="J165" s="39" t="str">
        <f>+VLOOKUP(I165,Insumos_MO!$B$8:$F$3741,2,0)</f>
        <v>H</v>
      </c>
      <c r="K165" s="184">
        <f>+VLOOKUP(I165,Insumos_MO!$B$8:$G$18183,5,0)</f>
        <v>22.61</v>
      </c>
      <c r="L165" s="198">
        <v>0.1</v>
      </c>
      <c r="M165" s="184">
        <f>+ROUND(K165*L165,2)</f>
        <v>2.2599999999999998</v>
      </c>
      <c r="N165" s="205"/>
      <c r="O165" s="3"/>
      <c r="P165" s="24"/>
    </row>
    <row r="166" spans="1:16" s="15" customFormat="1" x14ac:dyDescent="0.35">
      <c r="A166" s="149"/>
      <c r="B166" s="41"/>
      <c r="C166" s="150"/>
      <c r="D166" s="37"/>
      <c r="E166" s="38"/>
      <c r="F166" s="184"/>
      <c r="G166" s="141"/>
      <c r="H166" s="184"/>
      <c r="I166" s="151"/>
      <c r="J166" s="69"/>
      <c r="K166" s="185"/>
      <c r="L166" s="199"/>
      <c r="M166" s="185"/>
      <c r="N166" s="203"/>
      <c r="O166" s="3"/>
      <c r="P166" s="3"/>
    </row>
    <row r="167" spans="1:16" ht="106.5" customHeight="1" x14ac:dyDescent="0.35">
      <c r="A167" s="149" t="str">
        <f>PO_CPE!A110</f>
        <v>2.9.1.28</v>
      </c>
      <c r="B167" s="41" t="str">
        <f>PO_CPE!D110</f>
        <v>QUADRO ELÉTRICO EM ESTRUTURA AUTO-PORTANTE COM BARRAMENTO PARA 200A, COM BORNES PARA LIGAÇÃO DOS CIRCUITOS E TRILHOS DIN PARA FIXAÇÃO DOS DISJUNTORES, COM PORTA E TAMPA DE ABERTURA, PARA 86 CIRCUITOS MONOFÁSICOS + 16 DRS, H=2000MM X L=615MM X P=150MM</v>
      </c>
      <c r="C167" s="152" t="str">
        <f>PO_CPE!E110</f>
        <v>UNID.</v>
      </c>
      <c r="D167" s="151"/>
      <c r="E167" s="69"/>
      <c r="F167" s="185"/>
      <c r="G167" s="140"/>
      <c r="H167" s="187">
        <f>+SUM(H168:H169)</f>
        <v>9439.5</v>
      </c>
      <c r="I167" s="182"/>
      <c r="J167" s="183"/>
      <c r="K167" s="187"/>
      <c r="L167" s="197"/>
      <c r="M167" s="187">
        <f>SUM(M168:M169)</f>
        <v>318.24</v>
      </c>
      <c r="N167" s="202">
        <f>+IF(A167&gt;0,SUM(H167:M167),0)</f>
        <v>9757.74</v>
      </c>
    </row>
    <row r="168" spans="1:16" s="15" customFormat="1" ht="128.25" customHeight="1" x14ac:dyDescent="0.35">
      <c r="A168" s="154"/>
      <c r="B168" s="41"/>
      <c r="C168" s="152"/>
      <c r="D168" s="37" t="s">
        <v>898</v>
      </c>
      <c r="E168" s="38" t="str">
        <f>+VLOOKUP(D168,Insumos_MAT!$B$8:$G$16489,2,0)</f>
        <v>UNID.</v>
      </c>
      <c r="F168" s="184">
        <f>+VLOOKUP(D168,Insumos_MAT!$B$8:$G$16489,6,0)</f>
        <v>9439.5</v>
      </c>
      <c r="G168" s="141">
        <v>1</v>
      </c>
      <c r="H168" s="184">
        <f>F168*G168</f>
        <v>9439.5</v>
      </c>
      <c r="I168" s="37" t="s">
        <v>449</v>
      </c>
      <c r="J168" s="39" t="str">
        <f>+VLOOKUP(I168,Insumos_MO!$B$8:$F$3741,2,0)</f>
        <v>H</v>
      </c>
      <c r="K168" s="184">
        <f>+VLOOKUP(I168,Insumos_MO!$B$8:$G$18183,5,0)</f>
        <v>17.170000000000002</v>
      </c>
      <c r="L168" s="198">
        <v>8</v>
      </c>
      <c r="M168" s="184">
        <f>+ROUND(K168*L168,2)</f>
        <v>137.36000000000001</v>
      </c>
      <c r="N168" s="205"/>
      <c r="O168" s="3"/>
      <c r="P168" s="24"/>
    </row>
    <row r="169" spans="1:16" s="15" customFormat="1" ht="40.5" x14ac:dyDescent="0.35">
      <c r="A169" s="154"/>
      <c r="B169" s="41"/>
      <c r="C169" s="152"/>
      <c r="D169" s="37"/>
      <c r="E169" s="38"/>
      <c r="F169" s="184"/>
      <c r="G169" s="141"/>
      <c r="H169" s="184"/>
      <c r="I169" s="37" t="s">
        <v>380</v>
      </c>
      <c r="J169" s="39" t="str">
        <f>+VLOOKUP(I169,Insumos_MO!$B$8:$F$3741,2,0)</f>
        <v>H</v>
      </c>
      <c r="K169" s="184">
        <f>+VLOOKUP(I169,Insumos_MO!$B$8:$G$18183,5,0)</f>
        <v>22.61</v>
      </c>
      <c r="L169" s="198">
        <v>8</v>
      </c>
      <c r="M169" s="184">
        <f>+ROUND(K169*L169,2)</f>
        <v>180.88</v>
      </c>
      <c r="N169" s="205"/>
      <c r="O169" s="3"/>
      <c r="P169" s="24"/>
    </row>
    <row r="170" spans="1:16" s="15" customFormat="1" x14ac:dyDescent="0.35">
      <c r="A170" s="149"/>
      <c r="B170" s="41"/>
      <c r="C170" s="150"/>
      <c r="D170" s="37"/>
      <c r="E170" s="38"/>
      <c r="F170" s="184"/>
      <c r="G170" s="141"/>
      <c r="H170" s="184"/>
      <c r="I170" s="151"/>
      <c r="J170" s="69"/>
      <c r="K170" s="185"/>
      <c r="L170" s="199"/>
      <c r="M170" s="185"/>
      <c r="N170" s="203"/>
      <c r="O170" s="3"/>
      <c r="P170" s="3"/>
    </row>
    <row r="171" spans="1:16" ht="106.5" customHeight="1" x14ac:dyDescent="0.35">
      <c r="A171" s="149" t="str">
        <f>PO_CPE!A111</f>
        <v>2.9.1.29</v>
      </c>
      <c r="B171" s="41" t="str">
        <f>PO_CPE!D111</f>
        <v>QUADRO ELÉTRICO EM ESTRUTURA AUTO-PORTANTE, COM BARRAMENTO PARA 150A, COM BORNES PARA LIGAÇÃO DOS CIRCUITOS, COM PORTA E TAMPA DE ABERTURA, PARA 56 CIRCUITOS MONOFÁSICOS, H=1400MM X L=615MM X P=150MM</v>
      </c>
      <c r="C171" s="152" t="str">
        <f>PO_CPE!E111</f>
        <v>UNID.</v>
      </c>
      <c r="D171" s="151"/>
      <c r="E171" s="69"/>
      <c r="F171" s="185"/>
      <c r="G171" s="140"/>
      <c r="H171" s="187">
        <f>+SUM(H172:H173)</f>
        <v>7969.5</v>
      </c>
      <c r="I171" s="182"/>
      <c r="J171" s="183"/>
      <c r="K171" s="187"/>
      <c r="L171" s="197"/>
      <c r="M171" s="187">
        <f>SUM(M172:M173)</f>
        <v>318.24</v>
      </c>
      <c r="N171" s="202">
        <f>+IF(A171&gt;0,SUM(H171:M171),0)</f>
        <v>8287.74</v>
      </c>
    </row>
    <row r="172" spans="1:16" s="15" customFormat="1" ht="162" x14ac:dyDescent="0.35">
      <c r="A172" s="154"/>
      <c r="B172" s="41"/>
      <c r="C172" s="152"/>
      <c r="D172" s="37" t="s">
        <v>899</v>
      </c>
      <c r="E172" s="38" t="str">
        <f>+VLOOKUP(D172,Insumos_MAT!$B$8:$G$16489,2,0)</f>
        <v>UNID.</v>
      </c>
      <c r="F172" s="184">
        <f>+VLOOKUP(D172,Insumos_MAT!$B$8:$G$16489,6,0)</f>
        <v>7969.5</v>
      </c>
      <c r="G172" s="141">
        <v>1</v>
      </c>
      <c r="H172" s="184">
        <f>F172*G172</f>
        <v>7969.5</v>
      </c>
      <c r="I172" s="37" t="s">
        <v>449</v>
      </c>
      <c r="J172" s="39" t="str">
        <f>+VLOOKUP(I172,Insumos_MO!$B$8:$F$3741,2,0)</f>
        <v>H</v>
      </c>
      <c r="K172" s="184">
        <f>+VLOOKUP(I172,Insumos_MO!$B$8:$G$18183,5,0)</f>
        <v>17.170000000000002</v>
      </c>
      <c r="L172" s="198">
        <v>8</v>
      </c>
      <c r="M172" s="184">
        <f>+ROUND(K172*L172,2)</f>
        <v>137.36000000000001</v>
      </c>
      <c r="N172" s="205"/>
      <c r="O172" s="3"/>
      <c r="P172" s="24"/>
    </row>
    <row r="173" spans="1:16" s="15" customFormat="1" ht="40.5" x14ac:dyDescent="0.35">
      <c r="A173" s="154"/>
      <c r="B173" s="41"/>
      <c r="C173" s="152"/>
      <c r="D173" s="37"/>
      <c r="E173" s="38"/>
      <c r="F173" s="184"/>
      <c r="G173" s="141"/>
      <c r="H173" s="184"/>
      <c r="I173" s="37" t="s">
        <v>380</v>
      </c>
      <c r="J173" s="39" t="str">
        <f>+VLOOKUP(I173,Insumos_MO!$B$8:$F$3741,2,0)</f>
        <v>H</v>
      </c>
      <c r="K173" s="184">
        <f>+VLOOKUP(I173,Insumos_MO!$B$8:$G$18183,5,0)</f>
        <v>22.61</v>
      </c>
      <c r="L173" s="198">
        <v>8</v>
      </c>
      <c r="M173" s="184">
        <f>+ROUND(K173*L173,2)</f>
        <v>180.88</v>
      </c>
      <c r="N173" s="205"/>
      <c r="O173" s="3"/>
      <c r="P173" s="24"/>
    </row>
    <row r="174" spans="1:16" s="15" customFormat="1" x14ac:dyDescent="0.35">
      <c r="A174" s="149"/>
      <c r="B174" s="41"/>
      <c r="C174" s="150"/>
      <c r="D174" s="37"/>
      <c r="E174" s="38"/>
      <c r="F174" s="184"/>
      <c r="G174" s="141"/>
      <c r="H174" s="184"/>
      <c r="I174" s="151"/>
      <c r="J174" s="69"/>
      <c r="K174" s="185"/>
      <c r="L174" s="199"/>
      <c r="M174" s="185"/>
      <c r="N174" s="203"/>
      <c r="O174" s="3"/>
      <c r="P174" s="3"/>
    </row>
    <row r="175" spans="1:16" ht="106.5" customHeight="1" x14ac:dyDescent="0.35">
      <c r="A175" s="149" t="str">
        <f>PO_CPE!A112</f>
        <v>2.9.1.30</v>
      </c>
      <c r="B175" s="41" t="str">
        <f>PO_CPE!D112</f>
        <v>QUADRO ELÉTRICO EM ESTRUTURA AUTO-PORTANTE, COM BARRAMENTO PARA 150A, COM BORNES PARA LIGAÇÃO DOS CIRCUITOS, COM PORTA E TAMPA DE ABERTURA, PARA 18 CIRCUITOS MONOFÁSICOS, H=1400MM X L=615MM X P=150MM</v>
      </c>
      <c r="C175" s="152" t="str">
        <f>PO_CPE!E112</f>
        <v>UNID.</v>
      </c>
      <c r="D175" s="151"/>
      <c r="E175" s="69"/>
      <c r="F175" s="185"/>
      <c r="G175" s="140"/>
      <c r="H175" s="187">
        <f>+SUM(H176:H177)</f>
        <v>3139.5</v>
      </c>
      <c r="I175" s="182"/>
      <c r="J175" s="183"/>
      <c r="K175" s="187"/>
      <c r="L175" s="197"/>
      <c r="M175" s="187">
        <f>SUM(M176:M177)</f>
        <v>318.24</v>
      </c>
      <c r="N175" s="202">
        <f>+IF(A175&gt;0,SUM(H175:M175),0)</f>
        <v>3457.74</v>
      </c>
    </row>
    <row r="176" spans="1:16" s="15" customFormat="1" ht="162" x14ac:dyDescent="0.35">
      <c r="A176" s="154"/>
      <c r="B176" s="41"/>
      <c r="C176" s="152"/>
      <c r="D176" s="37" t="s">
        <v>900</v>
      </c>
      <c r="E176" s="38" t="str">
        <f>+VLOOKUP(D176,Insumos_MAT!$B$8:$G$16489,2,0)</f>
        <v>UNID.</v>
      </c>
      <c r="F176" s="184">
        <f>+VLOOKUP(D176,Insumos_MAT!$B$8:$G$16489,6,0)</f>
        <v>3139.5</v>
      </c>
      <c r="G176" s="141">
        <v>1</v>
      </c>
      <c r="H176" s="184">
        <f>F176*G176</f>
        <v>3139.5</v>
      </c>
      <c r="I176" s="37" t="s">
        <v>449</v>
      </c>
      <c r="J176" s="39" t="str">
        <f>+VLOOKUP(I176,Insumos_MO!$B$8:$F$3741,2,0)</f>
        <v>H</v>
      </c>
      <c r="K176" s="184">
        <f>+VLOOKUP(I176,Insumos_MO!$B$8:$G$18183,5,0)</f>
        <v>17.170000000000002</v>
      </c>
      <c r="L176" s="198">
        <v>8</v>
      </c>
      <c r="M176" s="184">
        <f>+ROUND(K176*L176,2)</f>
        <v>137.36000000000001</v>
      </c>
      <c r="N176" s="205"/>
      <c r="O176" s="3"/>
      <c r="P176" s="24"/>
    </row>
    <row r="177" spans="1:16" s="15" customFormat="1" ht="40.5" x14ac:dyDescent="0.35">
      <c r="A177" s="154"/>
      <c r="B177" s="41"/>
      <c r="C177" s="152"/>
      <c r="D177" s="37"/>
      <c r="E177" s="38"/>
      <c r="F177" s="184"/>
      <c r="G177" s="141"/>
      <c r="H177" s="184"/>
      <c r="I177" s="37" t="s">
        <v>380</v>
      </c>
      <c r="J177" s="39" t="str">
        <f>+VLOOKUP(I177,Insumos_MO!$B$8:$F$3741,2,0)</f>
        <v>H</v>
      </c>
      <c r="K177" s="184">
        <f>+VLOOKUP(I177,Insumos_MO!$B$8:$G$18183,5,0)</f>
        <v>22.61</v>
      </c>
      <c r="L177" s="198">
        <v>8</v>
      </c>
      <c r="M177" s="184">
        <f>+ROUND(K177*L177,2)</f>
        <v>180.88</v>
      </c>
      <c r="N177" s="205"/>
      <c r="O177" s="3"/>
      <c r="P177" s="24"/>
    </row>
    <row r="178" spans="1:16" s="15" customFormat="1" x14ac:dyDescent="0.35">
      <c r="A178" s="149"/>
      <c r="B178" s="41"/>
      <c r="C178" s="150"/>
      <c r="D178" s="37"/>
      <c r="E178" s="38"/>
      <c r="F178" s="184"/>
      <c r="G178" s="141"/>
      <c r="H178" s="184"/>
      <c r="I178" s="151"/>
      <c r="J178" s="69"/>
      <c r="K178" s="185"/>
      <c r="L178" s="199"/>
      <c r="M178" s="185"/>
      <c r="N178" s="203"/>
      <c r="O178" s="3"/>
      <c r="P178" s="3"/>
    </row>
    <row r="179" spans="1:16" ht="106.5" customHeight="1" x14ac:dyDescent="0.35">
      <c r="A179" s="149" t="str">
        <f>PO_CPE!A113</f>
        <v>2.9.1.31</v>
      </c>
      <c r="B179" s="41" t="str">
        <f>PO_CPE!D113</f>
        <v>QUADRO ELÉTRICO EM ESTRUTURA AUTO-PORTANTE, PROVISÓRIO COM BARRAMENTO TRIFÁSICO PARA 200A E  TRILHOS DIN PARA FIXAÇÃO DOS DISJUNTORES, COM PORTA E TAMPA DE ABERTURA, PARA 86 CIRCUITOS MONOFÁSICOS + 8 DRS, H=1900MM X L=615MM X P=150MM</v>
      </c>
      <c r="C179" s="152" t="str">
        <f>PO_CPE!E113</f>
        <v>UNID.</v>
      </c>
      <c r="D179" s="151"/>
      <c r="E179" s="69"/>
      <c r="F179" s="185"/>
      <c r="G179" s="140"/>
      <c r="H179" s="187">
        <f>+SUM(H180:H181)</f>
        <v>9019.5</v>
      </c>
      <c r="I179" s="182"/>
      <c r="J179" s="183"/>
      <c r="K179" s="187"/>
      <c r="L179" s="197"/>
      <c r="M179" s="187">
        <f>SUM(M180:M181)</f>
        <v>318.24</v>
      </c>
      <c r="N179" s="202">
        <f>+IF(A179&gt;0,SUM(H179:M179),0)</f>
        <v>9337.74</v>
      </c>
    </row>
    <row r="180" spans="1:16" s="15" customFormat="1" ht="189" x14ac:dyDescent="0.35">
      <c r="A180" s="154"/>
      <c r="B180" s="41"/>
      <c r="C180" s="152"/>
      <c r="D180" s="37" t="s">
        <v>901</v>
      </c>
      <c r="E180" s="38" t="str">
        <f>+VLOOKUP(D180,Insumos_MAT!$B$8:$G$16489,2,0)</f>
        <v>UNID.</v>
      </c>
      <c r="F180" s="184">
        <f>+VLOOKUP(D180,Insumos_MAT!$B$8:$G$16489,6,0)</f>
        <v>9019.5</v>
      </c>
      <c r="G180" s="141">
        <v>1</v>
      </c>
      <c r="H180" s="184">
        <f>F180*G180</f>
        <v>9019.5</v>
      </c>
      <c r="I180" s="37" t="s">
        <v>449</v>
      </c>
      <c r="J180" s="39" t="str">
        <f>+VLOOKUP(I180,Insumos_MO!$B$8:$F$3741,2,0)</f>
        <v>H</v>
      </c>
      <c r="K180" s="184">
        <f>+VLOOKUP(I180,Insumos_MO!$B$8:$G$18183,5,0)</f>
        <v>17.170000000000002</v>
      </c>
      <c r="L180" s="198">
        <v>8</v>
      </c>
      <c r="M180" s="184">
        <f>+ROUND(K180*L180,2)</f>
        <v>137.36000000000001</v>
      </c>
      <c r="N180" s="205"/>
      <c r="O180" s="3"/>
      <c r="P180" s="24"/>
    </row>
    <row r="181" spans="1:16" s="15" customFormat="1" ht="40.5" x14ac:dyDescent="0.35">
      <c r="A181" s="154"/>
      <c r="B181" s="41"/>
      <c r="C181" s="152"/>
      <c r="D181" s="37"/>
      <c r="E181" s="38"/>
      <c r="F181" s="184"/>
      <c r="G181" s="141"/>
      <c r="H181" s="184"/>
      <c r="I181" s="37" t="s">
        <v>380</v>
      </c>
      <c r="J181" s="39" t="str">
        <f>+VLOOKUP(I181,Insumos_MO!$B$8:$F$3741,2,0)</f>
        <v>H</v>
      </c>
      <c r="K181" s="184">
        <f>+VLOOKUP(I181,Insumos_MO!$B$8:$G$18183,5,0)</f>
        <v>22.61</v>
      </c>
      <c r="L181" s="198">
        <v>8</v>
      </c>
      <c r="M181" s="184">
        <f>+ROUND(K181*L181,2)</f>
        <v>180.88</v>
      </c>
      <c r="N181" s="205"/>
      <c r="O181" s="3"/>
      <c r="P181" s="24"/>
    </row>
    <row r="182" spans="1:16" s="15" customFormat="1" x14ac:dyDescent="0.35">
      <c r="A182" s="149"/>
      <c r="B182" s="41"/>
      <c r="C182" s="150"/>
      <c r="D182" s="37"/>
      <c r="E182" s="38"/>
      <c r="F182" s="184"/>
      <c r="G182" s="141"/>
      <c r="H182" s="184"/>
      <c r="I182" s="151"/>
      <c r="J182" s="69"/>
      <c r="K182" s="185"/>
      <c r="L182" s="199"/>
      <c r="M182" s="185"/>
      <c r="N182" s="203"/>
      <c r="O182" s="3"/>
      <c r="P182" s="3"/>
    </row>
    <row r="183" spans="1:16" ht="27" x14ac:dyDescent="0.35">
      <c r="A183" s="149" t="str">
        <f>PO_CPE!A115</f>
        <v>2.9.1.33</v>
      </c>
      <c r="B183" s="41" t="str">
        <f>PO_CPE!D115</f>
        <v>TOMADA INDUSTRIAL DE SOBREPOR TIPO STECK 32 A 2P+T-250V</v>
      </c>
      <c r="C183" s="152" t="str">
        <f>PO_CPE!E115</f>
        <v>UNID.</v>
      </c>
      <c r="D183" s="151"/>
      <c r="E183" s="69"/>
      <c r="F183" s="185"/>
      <c r="G183" s="140"/>
      <c r="H183" s="187">
        <f>+SUM(H184:H185)</f>
        <v>72.650000000000006</v>
      </c>
      <c r="I183" s="182"/>
      <c r="J183" s="183"/>
      <c r="K183" s="187"/>
      <c r="L183" s="197"/>
      <c r="M183" s="187">
        <f>SUM(M184:M185)</f>
        <v>19.73</v>
      </c>
      <c r="N183" s="202">
        <f>+IF(A183&gt;0,SUM(H183:M183),0)</f>
        <v>92.38000000000001</v>
      </c>
    </row>
    <row r="184" spans="1:16" s="15" customFormat="1" ht="54" x14ac:dyDescent="0.35">
      <c r="A184" s="154"/>
      <c r="B184" s="41"/>
      <c r="C184" s="152"/>
      <c r="D184" s="37" t="s">
        <v>431</v>
      </c>
      <c r="E184" s="38" t="str">
        <f>+VLOOKUP(D184,Insumos_MAT!$B$8:$G$16489,2,0)</f>
        <v>UNID.</v>
      </c>
      <c r="F184" s="184">
        <f>+VLOOKUP(D184,Insumos_MAT!$B$8:$G$16489,6,0)</f>
        <v>72.650000000000006</v>
      </c>
      <c r="G184" s="141">
        <v>1</v>
      </c>
      <c r="H184" s="184">
        <f>F184*G184</f>
        <v>72.650000000000006</v>
      </c>
      <c r="I184" s="37" t="s">
        <v>449</v>
      </c>
      <c r="J184" s="39" t="str">
        <f>+VLOOKUP(I184,Insumos_MO!$B$8:$F$3741,2,0)</f>
        <v>H</v>
      </c>
      <c r="K184" s="184">
        <f>+VLOOKUP(I184,Insumos_MO!$B$8:$G$18183,5,0)</f>
        <v>17.170000000000002</v>
      </c>
      <c r="L184" s="198">
        <v>0.496</v>
      </c>
      <c r="M184" s="184">
        <f>+ROUND(K184*L184,2)</f>
        <v>8.52</v>
      </c>
      <c r="N184" s="205"/>
      <c r="O184" s="3"/>
      <c r="P184" s="24"/>
    </row>
    <row r="185" spans="1:16" s="15" customFormat="1" ht="40.5" x14ac:dyDescent="0.35">
      <c r="A185" s="154"/>
      <c r="B185" s="41"/>
      <c r="C185" s="152"/>
      <c r="D185" s="37"/>
      <c r="E185" s="38"/>
      <c r="F185" s="184"/>
      <c r="G185" s="141"/>
      <c r="H185" s="184"/>
      <c r="I185" s="37" t="s">
        <v>380</v>
      </c>
      <c r="J185" s="39" t="str">
        <f>+VLOOKUP(I185,Insumos_MO!$B$8:$F$3741,2,0)</f>
        <v>H</v>
      </c>
      <c r="K185" s="184">
        <f>+VLOOKUP(I185,Insumos_MO!$B$8:$G$18183,5,0)</f>
        <v>22.61</v>
      </c>
      <c r="L185" s="198">
        <v>0.496</v>
      </c>
      <c r="M185" s="184">
        <f>+ROUND(K185*L185,2)</f>
        <v>11.21</v>
      </c>
      <c r="N185" s="205"/>
      <c r="O185" s="3"/>
      <c r="P185" s="24"/>
    </row>
    <row r="186" spans="1:16" s="15" customFormat="1" x14ac:dyDescent="0.35">
      <c r="A186" s="149"/>
      <c r="B186" s="41"/>
      <c r="C186" s="150"/>
      <c r="D186" s="37"/>
      <c r="E186" s="38"/>
      <c r="F186" s="184"/>
      <c r="G186" s="141"/>
      <c r="H186" s="184"/>
      <c r="I186" s="151"/>
      <c r="J186" s="69"/>
      <c r="K186" s="185"/>
      <c r="L186" s="199"/>
      <c r="M186" s="185"/>
      <c r="N186" s="203"/>
      <c r="O186" s="3"/>
      <c r="P186" s="3"/>
    </row>
    <row r="187" spans="1:16" ht="27" x14ac:dyDescent="0.35">
      <c r="A187" s="149" t="str">
        <f>PO_CPE!A117</f>
        <v>2.9.1.35</v>
      </c>
      <c r="B187" s="41" t="str">
        <f>PO_CPE!D117</f>
        <v>CABO TIPO PP 3X1,5MM² - LIGAÇÃO DAS LUMINÁRIAS</v>
      </c>
      <c r="C187" s="152" t="str">
        <f>PO_CPE!E117</f>
        <v>M</v>
      </c>
      <c r="D187" s="151"/>
      <c r="E187" s="69"/>
      <c r="F187" s="185"/>
      <c r="G187" s="140"/>
      <c r="H187" s="187">
        <f>+SUM(H188:H189)</f>
        <v>7.7825599999999993</v>
      </c>
      <c r="I187" s="182"/>
      <c r="J187" s="183"/>
      <c r="K187" s="187"/>
      <c r="L187" s="197"/>
      <c r="M187" s="187">
        <f>SUM(M188:M189)</f>
        <v>1.5899999999999999</v>
      </c>
      <c r="N187" s="202">
        <f>+IF(A187&gt;0,SUM(H187:M187),0)</f>
        <v>9.37256</v>
      </c>
    </row>
    <row r="188" spans="1:16" s="15" customFormat="1" ht="121.5" x14ac:dyDescent="0.35">
      <c r="A188" s="154"/>
      <c r="B188" s="41"/>
      <c r="C188" s="152"/>
      <c r="D188" s="37" t="s">
        <v>444</v>
      </c>
      <c r="E188" s="38" t="str">
        <f>+VLOOKUP(D188,Insumos_MAT!$B$8:$G$16489,2,0)</f>
        <v>M</v>
      </c>
      <c r="F188" s="184">
        <f>+VLOOKUP(D188,Insumos_MAT!$B$8:$G$16489,6,0)</f>
        <v>6.52</v>
      </c>
      <c r="G188" s="141">
        <v>1.19</v>
      </c>
      <c r="H188" s="184">
        <f>F188*G188</f>
        <v>7.758799999999999</v>
      </c>
      <c r="I188" s="37" t="s">
        <v>449</v>
      </c>
      <c r="J188" s="39" t="str">
        <f>+VLOOKUP(I188,Insumos_MO!$B$8:$F$3741,2,0)</f>
        <v>H</v>
      </c>
      <c r="K188" s="184">
        <f>+VLOOKUP(I188,Insumos_MO!$B$8:$G$18183,5,0)</f>
        <v>17.170000000000002</v>
      </c>
      <c r="L188" s="198">
        <v>0.04</v>
      </c>
      <c r="M188" s="184">
        <f>+ROUND(K188*L188,2)</f>
        <v>0.69</v>
      </c>
      <c r="N188" s="205"/>
      <c r="O188" s="3"/>
      <c r="P188" s="24"/>
    </row>
    <row r="189" spans="1:16" s="15" customFormat="1" ht="54" x14ac:dyDescent="0.35">
      <c r="A189" s="149"/>
      <c r="B189" s="41"/>
      <c r="C189" s="150"/>
      <c r="D189" s="37" t="s">
        <v>447</v>
      </c>
      <c r="E189" s="38" t="str">
        <f>+VLOOKUP(D189,Insumos_MAT!$B$8:$G$16489,2,0)</f>
        <v>UNID.</v>
      </c>
      <c r="F189" s="184">
        <f>+VLOOKUP(D189,Insumos_MAT!$B$8:$G$16489,6,0)</f>
        <v>2.64</v>
      </c>
      <c r="G189" s="141">
        <v>8.9999999999999993E-3</v>
      </c>
      <c r="H189" s="184">
        <f>F189*G189</f>
        <v>2.376E-2</v>
      </c>
      <c r="I189" s="37" t="s">
        <v>380</v>
      </c>
      <c r="J189" s="39" t="str">
        <f>+VLOOKUP(I189,Insumos_MO!$B$8:$F$3741,2,0)</f>
        <v>H</v>
      </c>
      <c r="K189" s="184">
        <f>+VLOOKUP(I189,Insumos_MO!$B$8:$G$18183,5,0)</f>
        <v>22.61</v>
      </c>
      <c r="L189" s="198">
        <v>0.04</v>
      </c>
      <c r="M189" s="184">
        <f>+ROUND(K189*L189,2)</f>
        <v>0.9</v>
      </c>
      <c r="N189" s="203"/>
      <c r="O189" s="3"/>
      <c r="P189" s="3"/>
    </row>
    <row r="190" spans="1:16" s="15" customFormat="1" x14ac:dyDescent="0.35">
      <c r="A190" s="149"/>
      <c r="B190" s="41"/>
      <c r="C190" s="150"/>
      <c r="D190" s="37"/>
      <c r="E190" s="38"/>
      <c r="F190" s="184"/>
      <c r="G190" s="141"/>
      <c r="H190" s="184"/>
      <c r="I190" s="151"/>
      <c r="J190" s="69"/>
      <c r="K190" s="185"/>
      <c r="L190" s="199"/>
      <c r="M190" s="185"/>
      <c r="N190" s="203"/>
      <c r="O190" s="3"/>
      <c r="P190" s="3"/>
    </row>
    <row r="191" spans="1:16" ht="27" x14ac:dyDescent="0.35">
      <c r="A191" s="149" t="str">
        <f>PO_CPE!A118</f>
        <v>2.9.1.36</v>
      </c>
      <c r="B191" s="41" t="str">
        <f>PO_CPE!D118</f>
        <v>PLUG MACHO NOVO PADRÃO - LIGAÇÃO LUMINÁRIAS</v>
      </c>
      <c r="C191" s="152" t="str">
        <f>PO_CPE!E118</f>
        <v>UNID.</v>
      </c>
      <c r="D191" s="151"/>
      <c r="E191" s="69"/>
      <c r="F191" s="185"/>
      <c r="G191" s="140"/>
      <c r="H191" s="187">
        <f>+SUM(H192:H193)</f>
        <v>7.93</v>
      </c>
      <c r="I191" s="182"/>
      <c r="J191" s="183"/>
      <c r="K191" s="187"/>
      <c r="L191" s="197"/>
      <c r="M191" s="187">
        <f>SUM(M192:M193)</f>
        <v>2.8499999999999996</v>
      </c>
      <c r="N191" s="202">
        <f>+IF(A191&gt;0,SUM(H191:M191),0)</f>
        <v>10.78</v>
      </c>
    </row>
    <row r="192" spans="1:16" s="15" customFormat="1" ht="54" x14ac:dyDescent="0.35">
      <c r="A192" s="154"/>
      <c r="B192" s="41"/>
      <c r="C192" s="152"/>
      <c r="D192" s="37" t="s">
        <v>565</v>
      </c>
      <c r="E192" s="38" t="str">
        <f>+VLOOKUP(D192,Insumos_MAT!$B$8:$G$16489,2,0)</f>
        <v>UNID.</v>
      </c>
      <c r="F192" s="184">
        <f>+VLOOKUP(D192,Insumos_MAT!$B$8:$G$16489,6,0)</f>
        <v>7.93</v>
      </c>
      <c r="G192" s="141">
        <v>1</v>
      </c>
      <c r="H192" s="184">
        <f>F192*G192</f>
        <v>7.93</v>
      </c>
      <c r="I192" s="37" t="s">
        <v>449</v>
      </c>
      <c r="J192" s="39" t="str">
        <f>+VLOOKUP(I192,Insumos_MO!$B$8:$F$3741,2,0)</f>
        <v>H</v>
      </c>
      <c r="K192" s="184">
        <f>+VLOOKUP(I192,Insumos_MO!$B$8:$G$18183,5,0)</f>
        <v>17.170000000000002</v>
      </c>
      <c r="L192" s="198">
        <v>0.1</v>
      </c>
      <c r="M192" s="184">
        <f>+ROUND(K192*L192,2)</f>
        <v>1.72</v>
      </c>
      <c r="N192" s="205"/>
      <c r="O192" s="3"/>
      <c r="P192" s="24"/>
    </row>
    <row r="193" spans="1:16" s="15" customFormat="1" ht="40.5" x14ac:dyDescent="0.35">
      <c r="A193" s="149"/>
      <c r="B193" s="41"/>
      <c r="C193" s="150"/>
      <c r="D193" s="37"/>
      <c r="E193" s="38"/>
      <c r="F193" s="184"/>
      <c r="G193" s="141"/>
      <c r="H193" s="184"/>
      <c r="I193" s="37" t="s">
        <v>380</v>
      </c>
      <c r="J193" s="39" t="str">
        <f>+VLOOKUP(I193,Insumos_MO!$B$8:$F$3741,2,0)</f>
        <v>H</v>
      </c>
      <c r="K193" s="184">
        <f>+VLOOKUP(I193,Insumos_MO!$B$8:$G$18183,5,0)</f>
        <v>22.61</v>
      </c>
      <c r="L193" s="198">
        <v>0.05</v>
      </c>
      <c r="M193" s="184">
        <f>+ROUND(K193*L193,2)</f>
        <v>1.1299999999999999</v>
      </c>
      <c r="N193" s="203"/>
      <c r="O193" s="3"/>
      <c r="P193" s="3"/>
    </row>
    <row r="194" spans="1:16" s="15" customFormat="1" x14ac:dyDescent="0.35">
      <c r="A194" s="149"/>
      <c r="B194" s="41"/>
      <c r="C194" s="150"/>
      <c r="D194" s="37"/>
      <c r="E194" s="38"/>
      <c r="F194" s="184"/>
      <c r="G194" s="141"/>
      <c r="H194" s="184"/>
      <c r="I194" s="151"/>
      <c r="J194" s="69"/>
      <c r="K194" s="185"/>
      <c r="L194" s="199"/>
      <c r="M194" s="185"/>
      <c r="N194" s="203"/>
      <c r="O194" s="3"/>
      <c r="P194" s="3"/>
    </row>
    <row r="195" spans="1:16" ht="27" x14ac:dyDescent="0.35">
      <c r="A195" s="149" t="str">
        <f>PO_CPE!A119</f>
        <v>2.9.1.37</v>
      </c>
      <c r="B195" s="41" t="str">
        <f>PO_CPE!D119</f>
        <v>TOMADA FÊMEA PARA PLUG  NOVO PADRÃO - LIGAÇÃO LUMINÁRIAS</v>
      </c>
      <c r="C195" s="152" t="str">
        <f>PO_CPE!E119</f>
        <v>UNID.</v>
      </c>
      <c r="D195" s="151"/>
      <c r="E195" s="69"/>
      <c r="F195" s="185"/>
      <c r="G195" s="140"/>
      <c r="H195" s="187">
        <f>+SUM(H196:H197)</f>
        <v>6.09</v>
      </c>
      <c r="I195" s="182"/>
      <c r="J195" s="183"/>
      <c r="K195" s="187"/>
      <c r="L195" s="197"/>
      <c r="M195" s="187">
        <f>SUM(M196:M197)</f>
        <v>2.8499999999999996</v>
      </c>
      <c r="N195" s="202">
        <f>+IF(A195&gt;0,SUM(H195:M195),0)</f>
        <v>8.94</v>
      </c>
    </row>
    <row r="196" spans="1:16" s="15" customFormat="1" ht="54" x14ac:dyDescent="0.35">
      <c r="A196" s="154"/>
      <c r="B196" s="41"/>
      <c r="C196" s="152"/>
      <c r="D196" s="37" t="s">
        <v>566</v>
      </c>
      <c r="E196" s="38" t="str">
        <f>+VLOOKUP(D196,Insumos_MAT!$B$8:$G$16489,2,0)</f>
        <v>UNID.</v>
      </c>
      <c r="F196" s="184">
        <f>+VLOOKUP(D196,Insumos_MAT!$B$8:$G$16489,6,0)</f>
        <v>6.09</v>
      </c>
      <c r="G196" s="141">
        <v>1</v>
      </c>
      <c r="H196" s="184">
        <f>F196*G196</f>
        <v>6.09</v>
      </c>
      <c r="I196" s="37" t="s">
        <v>449</v>
      </c>
      <c r="J196" s="39" t="str">
        <f>+VLOOKUP(I196,Insumos_MO!$B$8:$F$3741,2,0)</f>
        <v>H</v>
      </c>
      <c r="K196" s="184">
        <f>+VLOOKUP(I196,Insumos_MO!$B$8:$G$18183,5,0)</f>
        <v>17.170000000000002</v>
      </c>
      <c r="L196" s="198">
        <v>0.1</v>
      </c>
      <c r="M196" s="184">
        <f>+ROUND(K196*L196,2)</f>
        <v>1.72</v>
      </c>
      <c r="N196" s="205"/>
      <c r="O196" s="3"/>
      <c r="P196" s="24"/>
    </row>
    <row r="197" spans="1:16" s="15" customFormat="1" ht="40.5" x14ac:dyDescent="0.35">
      <c r="A197" s="149"/>
      <c r="B197" s="41"/>
      <c r="C197" s="150"/>
      <c r="D197" s="37"/>
      <c r="E197" s="38"/>
      <c r="F197" s="184"/>
      <c r="G197" s="141"/>
      <c r="H197" s="184"/>
      <c r="I197" s="37" t="s">
        <v>380</v>
      </c>
      <c r="J197" s="39" t="str">
        <f>+VLOOKUP(I197,Insumos_MO!$B$8:$F$3741,2,0)</f>
        <v>H</v>
      </c>
      <c r="K197" s="184">
        <f>+VLOOKUP(I197,Insumos_MO!$B$8:$G$18183,5,0)</f>
        <v>22.61</v>
      </c>
      <c r="L197" s="198">
        <v>0.05</v>
      </c>
      <c r="M197" s="184">
        <f>+ROUND(K197*L197,2)</f>
        <v>1.1299999999999999</v>
      </c>
      <c r="N197" s="203"/>
      <c r="O197" s="3"/>
      <c r="P197" s="3"/>
    </row>
    <row r="198" spans="1:16" s="15" customFormat="1" x14ac:dyDescent="0.35">
      <c r="A198" s="149"/>
      <c r="B198" s="41"/>
      <c r="C198" s="150"/>
      <c r="D198" s="37"/>
      <c r="E198" s="38"/>
      <c r="F198" s="184"/>
      <c r="G198" s="141"/>
      <c r="H198" s="184"/>
      <c r="I198" s="151"/>
      <c r="J198" s="69"/>
      <c r="K198" s="185"/>
      <c r="L198" s="199"/>
      <c r="M198" s="185"/>
      <c r="N198" s="203"/>
      <c r="O198" s="3"/>
      <c r="P198" s="3"/>
    </row>
    <row r="199" spans="1:16" ht="91.5" customHeight="1" x14ac:dyDescent="0.35">
      <c r="A199" s="515" t="str">
        <f>PO_CPE!A120</f>
        <v>2.9.1.38</v>
      </c>
      <c r="B199" s="41" t="str">
        <f>PO_CPE!D120</f>
        <v>SUPORTE PARA EQUIPAMENTOS PARA CANALETA 73MM, COR BRANCA, COM 2 TOMADAS REDONDAS PADRÃO NBR 14136/2012 REF. SUPORTE DUTOTEC DT 61041.00 + TOMADAS DUTOTEC 10A / 250V OU EQUIVALENTES TÉCNICOS</v>
      </c>
      <c r="C199" s="152" t="str">
        <f>PO_CPE!E120</f>
        <v>UNID.</v>
      </c>
      <c r="D199" s="151"/>
      <c r="E199" s="69"/>
      <c r="F199" s="185"/>
      <c r="G199" s="140"/>
      <c r="H199" s="187">
        <f>+SUM(H200:H201)</f>
        <v>43.09</v>
      </c>
      <c r="I199" s="182"/>
      <c r="J199" s="183"/>
      <c r="K199" s="187"/>
      <c r="L199" s="197"/>
      <c r="M199" s="187">
        <f>SUM(M200:M201)</f>
        <v>19.899999999999999</v>
      </c>
      <c r="N199" s="202">
        <f>+IF(A199&gt;0,SUM(H199:M199),0)</f>
        <v>62.99</v>
      </c>
    </row>
    <row r="200" spans="1:16" s="15" customFormat="1" ht="54" x14ac:dyDescent="0.35">
      <c r="A200" s="154"/>
      <c r="B200" s="41"/>
      <c r="C200" s="152"/>
      <c r="D200" s="37" t="s">
        <v>568</v>
      </c>
      <c r="E200" s="38" t="str">
        <f>+VLOOKUP(D200,Insumos_MAT!$B$8:$G$16489,2,0)</f>
        <v>UNID.</v>
      </c>
      <c r="F200" s="184">
        <f>+VLOOKUP(D200,Insumos_MAT!$B$8:$G$16489,6,0)</f>
        <v>22.95</v>
      </c>
      <c r="G200" s="141">
        <v>1</v>
      </c>
      <c r="H200" s="184">
        <f>F200*G200</f>
        <v>22.95</v>
      </c>
      <c r="I200" s="37" t="s">
        <v>449</v>
      </c>
      <c r="J200" s="39" t="str">
        <f>+VLOOKUP(I200,Insumos_MO!$B$8:$F$3741,2,0)</f>
        <v>H</v>
      </c>
      <c r="K200" s="184">
        <f>+VLOOKUP(I200,Insumos_MO!$B$8:$G$18183,5,0)</f>
        <v>17.170000000000002</v>
      </c>
      <c r="L200" s="198">
        <v>0.5</v>
      </c>
      <c r="M200" s="184">
        <f>+ROUND(K200*L200,2)</f>
        <v>8.59</v>
      </c>
      <c r="N200" s="205"/>
      <c r="O200" s="3"/>
      <c r="P200" s="24"/>
    </row>
    <row r="201" spans="1:16" s="15" customFormat="1" ht="40.5" x14ac:dyDescent="0.35">
      <c r="A201" s="149"/>
      <c r="B201" s="41"/>
      <c r="C201" s="150"/>
      <c r="D201" s="37" t="s">
        <v>569</v>
      </c>
      <c r="E201" s="38" t="str">
        <f>+VLOOKUP(D201,Insumos_MAT!$B$8:$G$16489,2,0)</f>
        <v>UNID.</v>
      </c>
      <c r="F201" s="184">
        <f>+VLOOKUP(D201,Insumos_MAT!$B$8:$G$16489,6,0)</f>
        <v>10.07</v>
      </c>
      <c r="G201" s="141">
        <v>2</v>
      </c>
      <c r="H201" s="184">
        <f>F201*G201</f>
        <v>20.14</v>
      </c>
      <c r="I201" s="37" t="s">
        <v>380</v>
      </c>
      <c r="J201" s="39" t="str">
        <f>+VLOOKUP(I201,Insumos_MO!$B$8:$F$3741,2,0)</f>
        <v>H</v>
      </c>
      <c r="K201" s="184">
        <f>+VLOOKUP(I201,Insumos_MO!$B$8:$G$18183,5,0)</f>
        <v>22.61</v>
      </c>
      <c r="L201" s="198">
        <v>0.5</v>
      </c>
      <c r="M201" s="184">
        <f>+ROUND(K201*L201,2)</f>
        <v>11.31</v>
      </c>
      <c r="N201" s="203"/>
      <c r="O201" s="3"/>
      <c r="P201" s="3"/>
    </row>
    <row r="202" spans="1:16" s="15" customFormat="1" x14ac:dyDescent="0.35">
      <c r="A202" s="149"/>
      <c r="B202" s="41"/>
      <c r="C202" s="150"/>
      <c r="D202" s="37"/>
      <c r="E202" s="38"/>
      <c r="F202" s="184"/>
      <c r="G202" s="141"/>
      <c r="H202" s="184"/>
      <c r="I202" s="151"/>
      <c r="J202" s="69"/>
      <c r="K202" s="185"/>
      <c r="L202" s="199"/>
      <c r="M202" s="185"/>
      <c r="N202" s="203"/>
      <c r="O202" s="3"/>
      <c r="P202" s="3"/>
    </row>
    <row r="203" spans="1:16" ht="91.5" customHeight="1" x14ac:dyDescent="0.35">
      <c r="A203" s="515" t="str">
        <f>PO_CPE!A121</f>
        <v>2.9.1.39</v>
      </c>
      <c r="B203" s="41" t="str">
        <f>PO_CPE!D121</f>
        <v>SUPORTE PARA EQUIPAMENTOS PARA CANALETA 73MM, COR BRANCA, COM 1 TOMADA  PADRÃO NBR 14136/2012 REF. SUPORTE DUTOTEC DT 61041.00 + TOMADA DUTOTEC 20A / 250V OU EQUIVALENTE TÉCNICO</v>
      </c>
      <c r="C203" s="152" t="str">
        <f>PO_CPE!E121</f>
        <v>UNID.</v>
      </c>
      <c r="D203" s="151"/>
      <c r="E203" s="69"/>
      <c r="F203" s="185"/>
      <c r="G203" s="140"/>
      <c r="H203" s="187">
        <f>+SUM(H204:H205)</f>
        <v>33.019999999999996</v>
      </c>
      <c r="I203" s="182"/>
      <c r="J203" s="183"/>
      <c r="K203" s="187"/>
      <c r="L203" s="197"/>
      <c r="M203" s="187">
        <f>SUM(M204:M205)</f>
        <v>15.91</v>
      </c>
      <c r="N203" s="202">
        <f>+IF(A203&gt;0,SUM(H203:M203),0)</f>
        <v>48.929999999999993</v>
      </c>
    </row>
    <row r="204" spans="1:16" s="15" customFormat="1" ht="54" x14ac:dyDescent="0.35">
      <c r="A204" s="154"/>
      <c r="B204" s="41"/>
      <c r="C204" s="152"/>
      <c r="D204" s="37" t="s">
        <v>568</v>
      </c>
      <c r="E204" s="38" t="str">
        <f>+VLOOKUP(D204,Insumos_MAT!$B$8:$G$16489,2,0)</f>
        <v>UNID.</v>
      </c>
      <c r="F204" s="184">
        <f>+VLOOKUP(D204,Insumos_MAT!$B$8:$G$16489,6,0)</f>
        <v>22.95</v>
      </c>
      <c r="G204" s="141">
        <v>1</v>
      </c>
      <c r="H204" s="184">
        <f>F204*G204</f>
        <v>22.95</v>
      </c>
      <c r="I204" s="37" t="s">
        <v>449</v>
      </c>
      <c r="J204" s="39" t="str">
        <f>+VLOOKUP(I204,Insumos_MO!$B$8:$F$3741,2,0)</f>
        <v>H</v>
      </c>
      <c r="K204" s="184">
        <f>+VLOOKUP(I204,Insumos_MO!$B$8:$G$18183,5,0)</f>
        <v>17.170000000000002</v>
      </c>
      <c r="L204" s="198">
        <v>0.4</v>
      </c>
      <c r="M204" s="184">
        <f>+ROUND(K204*L204,2)</f>
        <v>6.87</v>
      </c>
      <c r="N204" s="205"/>
      <c r="O204" s="3"/>
      <c r="P204" s="24"/>
    </row>
    <row r="205" spans="1:16" s="15" customFormat="1" ht="40.5" x14ac:dyDescent="0.35">
      <c r="A205" s="149"/>
      <c r="B205" s="41"/>
      <c r="C205" s="150"/>
      <c r="D205" s="37" t="s">
        <v>906</v>
      </c>
      <c r="E205" s="38" t="str">
        <f>+VLOOKUP(D205,Insumos_MAT!$B$8:$G$16489,2,0)</f>
        <v>UNID.</v>
      </c>
      <c r="F205" s="184">
        <f>+VLOOKUP(D205,Insumos_MAT!$B$8:$G$16489,6,0)</f>
        <v>10.07</v>
      </c>
      <c r="G205" s="141">
        <v>1</v>
      </c>
      <c r="H205" s="184">
        <f>F205*G205</f>
        <v>10.07</v>
      </c>
      <c r="I205" s="37" t="s">
        <v>380</v>
      </c>
      <c r="J205" s="39" t="str">
        <f>+VLOOKUP(I205,Insumos_MO!$B$8:$F$3741,2,0)</f>
        <v>H</v>
      </c>
      <c r="K205" s="184">
        <f>+VLOOKUP(I205,Insumos_MO!$B$8:$G$18183,5,0)</f>
        <v>22.61</v>
      </c>
      <c r="L205" s="198">
        <v>0.4</v>
      </c>
      <c r="M205" s="184">
        <f>+ROUND(K205*L205,2)</f>
        <v>9.0399999999999991</v>
      </c>
      <c r="N205" s="203"/>
      <c r="O205" s="3"/>
      <c r="P205" s="3"/>
    </row>
    <row r="206" spans="1:16" s="15" customFormat="1" x14ac:dyDescent="0.35">
      <c r="A206" s="149"/>
      <c r="B206" s="41"/>
      <c r="C206" s="150"/>
      <c r="D206" s="37"/>
      <c r="E206" s="38"/>
      <c r="F206" s="184"/>
      <c r="G206" s="141"/>
      <c r="H206" s="184"/>
      <c r="I206" s="151"/>
      <c r="J206" s="69"/>
      <c r="K206" s="185"/>
      <c r="L206" s="199"/>
      <c r="M206" s="185"/>
      <c r="N206" s="203"/>
      <c r="O206" s="3"/>
      <c r="P206" s="3"/>
    </row>
    <row r="207" spans="1:16" ht="24" customHeight="1" x14ac:dyDescent="0.35">
      <c r="A207" s="149" t="str">
        <f>PO_CPE!A124</f>
        <v>2.9.1.42</v>
      </c>
      <c r="B207" s="539" t="str">
        <f>PO_CPE!D124</f>
        <v xml:space="preserve">CAIXA DE PASSAGEM DE EMBUTIR 100MMX50MM </v>
      </c>
      <c r="C207" s="152" t="str">
        <f>PO_CPE!E124</f>
        <v>UNID.</v>
      </c>
      <c r="D207" s="151"/>
      <c r="E207" s="69"/>
      <c r="F207" s="185"/>
      <c r="G207" s="140"/>
      <c r="H207" s="187">
        <f>+SUM(H208:H208)</f>
        <v>2.17</v>
      </c>
      <c r="I207" s="182"/>
      <c r="J207" s="183"/>
      <c r="K207" s="187"/>
      <c r="L207" s="197"/>
      <c r="M207" s="187">
        <f>SUM(M208:M209)</f>
        <v>2.8499999999999996</v>
      </c>
      <c r="N207" s="202">
        <f>+IF(A207&gt;0,SUM(H207:M207),0)</f>
        <v>5.0199999999999996</v>
      </c>
      <c r="O207" s="251"/>
    </row>
    <row r="208" spans="1:16" s="14" customFormat="1" ht="54" x14ac:dyDescent="0.3">
      <c r="A208" s="154"/>
      <c r="B208" s="153"/>
      <c r="C208" s="155"/>
      <c r="D208" s="37" t="s">
        <v>112</v>
      </c>
      <c r="E208" s="38" t="str">
        <f>+VLOOKUP(D208,Insumos_MAT!$B$8:$G$16489,2,0)</f>
        <v>UNID.</v>
      </c>
      <c r="F208" s="184">
        <f>+VLOOKUP(D208,Insumos_MAT!$B$8:$G$16489,6,0)</f>
        <v>2.17</v>
      </c>
      <c r="G208" s="141">
        <v>1</v>
      </c>
      <c r="H208" s="184">
        <f>F208*G208</f>
        <v>2.17</v>
      </c>
      <c r="I208" s="37" t="s">
        <v>449</v>
      </c>
      <c r="J208" s="39" t="str">
        <f>+VLOOKUP(I208,Insumos_MO!$B$8:$F$3741,2,0)</f>
        <v>H</v>
      </c>
      <c r="K208" s="184">
        <f>+VLOOKUP(I208,Insumos_MO!$B$8:$G$18183,5,0)</f>
        <v>17.170000000000002</v>
      </c>
      <c r="L208" s="198">
        <v>0.1</v>
      </c>
      <c r="M208" s="184">
        <f>+ROUND(K208*L208,2)</f>
        <v>1.72</v>
      </c>
      <c r="N208" s="203"/>
    </row>
    <row r="209" spans="1:16" s="24" customFormat="1" ht="40.5" x14ac:dyDescent="0.35">
      <c r="A209" s="154"/>
      <c r="B209" s="37"/>
      <c r="C209" s="156"/>
      <c r="D209" s="37"/>
      <c r="E209" s="38"/>
      <c r="F209" s="184"/>
      <c r="G209" s="141"/>
      <c r="H209" s="184"/>
      <c r="I209" s="37" t="s">
        <v>380</v>
      </c>
      <c r="J209" s="39" t="str">
        <f>+VLOOKUP(I209,Insumos_MO!$B$8:$F$3741,2,0)</f>
        <v>H</v>
      </c>
      <c r="K209" s="184">
        <f>+VLOOKUP(I209,Insumos_MO!$B$8:$G$18183,5,0)</f>
        <v>22.61</v>
      </c>
      <c r="L209" s="198">
        <v>0.05</v>
      </c>
      <c r="M209" s="184">
        <f>+ROUND(K209*L209,2)</f>
        <v>1.1299999999999999</v>
      </c>
      <c r="N209" s="205"/>
    </row>
    <row r="210" spans="1:16" s="24" customFormat="1" x14ac:dyDescent="0.35">
      <c r="A210" s="154"/>
      <c r="B210" s="37"/>
      <c r="C210" s="156"/>
      <c r="D210" s="37"/>
      <c r="E210" s="38"/>
      <c r="F210" s="184"/>
      <c r="G210" s="141"/>
      <c r="H210" s="184"/>
      <c r="I210" s="37"/>
      <c r="J210" s="39"/>
      <c r="K210" s="184"/>
      <c r="L210" s="198"/>
      <c r="M210" s="184"/>
      <c r="N210" s="205"/>
    </row>
    <row r="211" spans="1:16" ht="24" customHeight="1" x14ac:dyDescent="0.35">
      <c r="A211" s="149" t="str">
        <f>PO_CPE!A126</f>
        <v>2.9.1.44</v>
      </c>
      <c r="B211" s="539" t="str">
        <f>PO_CPE!D126</f>
        <v>DERIVAÇÃO LATERAL P/ ELETRODUTO - ELETROCALHA</v>
      </c>
      <c r="C211" s="152" t="str">
        <f>PO_CPE!E126</f>
        <v>UNID.</v>
      </c>
      <c r="D211" s="151"/>
      <c r="E211" s="69"/>
      <c r="F211" s="185"/>
      <c r="G211" s="140"/>
      <c r="H211" s="187">
        <f>+SUM(H212:H212)</f>
        <v>4.29</v>
      </c>
      <c r="I211" s="182"/>
      <c r="J211" s="183"/>
      <c r="K211" s="187"/>
      <c r="L211" s="197"/>
      <c r="M211" s="187">
        <f>SUM(M212:M213)</f>
        <v>1.9899999999999998</v>
      </c>
      <c r="N211" s="202">
        <f>+IF(A211&gt;0,SUM(H211:M211),0)</f>
        <v>6.2799999999999994</v>
      </c>
      <c r="O211" s="251"/>
    </row>
    <row r="212" spans="1:16" s="14" customFormat="1" ht="54" x14ac:dyDescent="0.3">
      <c r="A212" s="154"/>
      <c r="B212" s="153"/>
      <c r="C212" s="155"/>
      <c r="D212" s="37" t="s">
        <v>436</v>
      </c>
      <c r="E212" s="38" t="str">
        <f>+VLOOKUP(D212,Insumos_MAT!$B$8:$G$16489,2,0)</f>
        <v>UNID.</v>
      </c>
      <c r="F212" s="184">
        <f>+VLOOKUP(D212,Insumos_MAT!$B$8:$G$16489,6,0)</f>
        <v>4.29</v>
      </c>
      <c r="G212" s="141">
        <v>1</v>
      </c>
      <c r="H212" s="184">
        <f>F212*G212</f>
        <v>4.29</v>
      </c>
      <c r="I212" s="37" t="s">
        <v>449</v>
      </c>
      <c r="J212" s="39" t="str">
        <f>+VLOOKUP(I212,Insumos_MO!$B$8:$F$3741,2,0)</f>
        <v>H</v>
      </c>
      <c r="K212" s="184">
        <f>+VLOOKUP(I212,Insumos_MO!$B$8:$G$18183,5,0)</f>
        <v>17.170000000000002</v>
      </c>
      <c r="L212" s="198">
        <v>0.05</v>
      </c>
      <c r="M212" s="184">
        <f>+ROUND(K212*L212,2)</f>
        <v>0.86</v>
      </c>
      <c r="N212" s="203"/>
    </row>
    <row r="213" spans="1:16" s="24" customFormat="1" ht="40.5" x14ac:dyDescent="0.35">
      <c r="A213" s="154"/>
      <c r="B213" s="37"/>
      <c r="C213" s="156"/>
      <c r="D213" s="37"/>
      <c r="E213" s="38"/>
      <c r="F213" s="184"/>
      <c r="G213" s="141"/>
      <c r="H213" s="184"/>
      <c r="I213" s="37" t="s">
        <v>380</v>
      </c>
      <c r="J213" s="39" t="str">
        <f>+VLOOKUP(I213,Insumos_MO!$B$8:$F$3741,2,0)</f>
        <v>H</v>
      </c>
      <c r="K213" s="184">
        <f>+VLOOKUP(I213,Insumos_MO!$B$8:$G$18183,5,0)</f>
        <v>22.61</v>
      </c>
      <c r="L213" s="198">
        <v>0.05</v>
      </c>
      <c r="M213" s="184">
        <f>+ROUND(K213*L213,2)</f>
        <v>1.1299999999999999</v>
      </c>
      <c r="N213" s="205"/>
    </row>
    <row r="214" spans="1:16" s="24" customFormat="1" x14ac:dyDescent="0.35">
      <c r="A214" s="154"/>
      <c r="B214" s="37"/>
      <c r="C214" s="156"/>
      <c r="D214" s="37"/>
      <c r="E214" s="38"/>
      <c r="F214" s="184"/>
      <c r="G214" s="141"/>
      <c r="H214" s="184"/>
      <c r="I214" s="37"/>
      <c r="J214" s="39"/>
      <c r="K214" s="184"/>
      <c r="L214" s="198"/>
      <c r="M214" s="184"/>
      <c r="N214" s="205"/>
    </row>
    <row r="215" spans="1:16" ht="24" customHeight="1" x14ac:dyDescent="0.35">
      <c r="A215" s="149" t="str">
        <f>PO_CPE!A127</f>
        <v>2.9.1.45</v>
      </c>
      <c r="B215" s="539" t="str">
        <f>PO_CPE!D127</f>
        <v>CURVA 90° PARA ELETRODUTO GALVANIZADO 25MM (1")</v>
      </c>
      <c r="C215" s="152" t="str">
        <f>PO_CPE!E127</f>
        <v>UNID.</v>
      </c>
      <c r="D215" s="151"/>
      <c r="E215" s="69"/>
      <c r="F215" s="185"/>
      <c r="G215" s="140"/>
      <c r="H215" s="187">
        <f>+SUM(H216:H216)</f>
        <v>10.31</v>
      </c>
      <c r="I215" s="182"/>
      <c r="J215" s="183"/>
      <c r="K215" s="187"/>
      <c r="L215" s="197"/>
      <c r="M215" s="187">
        <f>SUM(M216:M217)</f>
        <v>2.99</v>
      </c>
      <c r="N215" s="202">
        <f>+IF(A215&gt;0,SUM(H215:M215),0)</f>
        <v>13.3</v>
      </c>
      <c r="O215" s="251"/>
    </row>
    <row r="216" spans="1:16" s="14" customFormat="1" ht="81" x14ac:dyDescent="0.3">
      <c r="A216" s="154"/>
      <c r="B216" s="153"/>
      <c r="C216" s="155"/>
      <c r="D216" s="37" t="s">
        <v>902</v>
      </c>
      <c r="E216" s="38" t="str">
        <f>+VLOOKUP(D216,Insumos_MAT!$B$8:$G$16489,2,0)</f>
        <v>UNID.</v>
      </c>
      <c r="F216" s="184">
        <f>+VLOOKUP(D216,Insumos_MAT!$B$8:$G$16489,6,0)</f>
        <v>10.31</v>
      </c>
      <c r="G216" s="141">
        <v>1</v>
      </c>
      <c r="H216" s="184">
        <f>F216*G216</f>
        <v>10.31</v>
      </c>
      <c r="I216" s="37" t="s">
        <v>449</v>
      </c>
      <c r="J216" s="39" t="str">
        <f>+VLOOKUP(I216,Insumos_MO!$B$8:$F$3741,2,0)</f>
        <v>H</v>
      </c>
      <c r="K216" s="184">
        <f>+VLOOKUP(I216,Insumos_MO!$B$8:$G$18183,5,0)</f>
        <v>17.170000000000002</v>
      </c>
      <c r="L216" s="198">
        <v>7.4999999999999997E-2</v>
      </c>
      <c r="M216" s="184">
        <f>+ROUND(K216*L216,2)</f>
        <v>1.29</v>
      </c>
      <c r="N216" s="203"/>
    </row>
    <row r="217" spans="1:16" s="24" customFormat="1" ht="40.5" x14ac:dyDescent="0.35">
      <c r="A217" s="154"/>
      <c r="B217" s="37"/>
      <c r="C217" s="156"/>
      <c r="D217" s="37"/>
      <c r="E217" s="38"/>
      <c r="F217" s="184"/>
      <c r="G217" s="141"/>
      <c r="H217" s="184"/>
      <c r="I217" s="37" t="s">
        <v>380</v>
      </c>
      <c r="J217" s="39" t="str">
        <f>+VLOOKUP(I217,Insumos_MO!$B$8:$F$3741,2,0)</f>
        <v>H</v>
      </c>
      <c r="K217" s="184">
        <f>+VLOOKUP(I217,Insumos_MO!$B$8:$G$18183,5,0)</f>
        <v>22.61</v>
      </c>
      <c r="L217" s="198">
        <v>7.4999999999999997E-2</v>
      </c>
      <c r="M217" s="184">
        <f>+ROUND(K217*L217,2)</f>
        <v>1.7</v>
      </c>
      <c r="N217" s="205"/>
    </row>
    <row r="218" spans="1:16" s="24" customFormat="1" x14ac:dyDescent="0.35">
      <c r="A218" s="154"/>
      <c r="B218" s="37"/>
      <c r="C218" s="156"/>
      <c r="D218" s="37"/>
      <c r="E218" s="38"/>
      <c r="F218" s="184"/>
      <c r="G218" s="141"/>
      <c r="H218" s="184"/>
      <c r="I218" s="37"/>
      <c r="J218" s="39"/>
      <c r="K218" s="184"/>
      <c r="L218" s="198"/>
      <c r="M218" s="184"/>
      <c r="N218" s="205"/>
    </row>
    <row r="219" spans="1:16" ht="64.5" customHeight="1" x14ac:dyDescent="0.35">
      <c r="A219" s="149" t="str">
        <f>PO_CPE!A130</f>
        <v>2.9.1.48</v>
      </c>
      <c r="B219" s="41" t="str">
        <f>PO_CPE!D130</f>
        <v>RETIRADA (COM CUIDADO), LIMPEZA PARA POSTERIOR REAPROVEITAMENTO DE CANALETA DE ALUMINIO COR NATURAL, COM TAMPA 73MMX25MM</v>
      </c>
      <c r="C219" s="152" t="str">
        <f>PO_CPE!E130</f>
        <v>M</v>
      </c>
      <c r="D219" s="151"/>
      <c r="E219" s="69"/>
      <c r="F219" s="185"/>
      <c r="G219" s="140"/>
      <c r="H219" s="187">
        <f>+SUM(H220:H221)</f>
        <v>0.216</v>
      </c>
      <c r="I219" s="182"/>
      <c r="J219" s="183"/>
      <c r="K219" s="187"/>
      <c r="L219" s="197"/>
      <c r="M219" s="187">
        <f>SUM(M220:M221)</f>
        <v>9.7199999999999989</v>
      </c>
      <c r="N219" s="202">
        <f>+IF(A219&gt;0,SUM(H219:M219),0)</f>
        <v>9.9359999999999982</v>
      </c>
    </row>
    <row r="220" spans="1:16" s="15" customFormat="1" ht="54" x14ac:dyDescent="0.35">
      <c r="A220" s="154"/>
      <c r="B220" s="41"/>
      <c r="C220" s="152"/>
      <c r="D220" s="37" t="s">
        <v>564</v>
      </c>
      <c r="E220" s="38" t="str">
        <f>+VLOOKUP(D220,Insumos_MAT!$B$8:$G$16489,2,0)</f>
        <v>L</v>
      </c>
      <c r="F220" s="184">
        <f>+VLOOKUP(D220,Insumos_MAT!$B$8:$G$16489,6,0)</f>
        <v>7.2</v>
      </c>
      <c r="G220" s="141">
        <v>0.03</v>
      </c>
      <c r="H220" s="184">
        <f>F220*G220</f>
        <v>0.216</v>
      </c>
      <c r="I220" s="37" t="s">
        <v>449</v>
      </c>
      <c r="J220" s="39" t="str">
        <f>+VLOOKUP(I220,Insumos_MO!$B$8:$F$3741,2,0)</f>
        <v>H</v>
      </c>
      <c r="K220" s="184">
        <f>+VLOOKUP(I220,Insumos_MO!$B$8:$G$18183,5,0)</f>
        <v>17.170000000000002</v>
      </c>
      <c r="L220" s="198">
        <v>0.5</v>
      </c>
      <c r="M220" s="184">
        <f>+ROUND(K220*L220,2)</f>
        <v>8.59</v>
      </c>
      <c r="N220" s="205"/>
      <c r="O220" s="3"/>
      <c r="P220" s="24"/>
    </row>
    <row r="221" spans="1:16" s="15" customFormat="1" ht="40.5" x14ac:dyDescent="0.35">
      <c r="A221" s="154"/>
      <c r="B221" s="41"/>
      <c r="C221" s="152"/>
      <c r="D221" s="37"/>
      <c r="E221" s="38"/>
      <c r="F221" s="184"/>
      <c r="G221" s="141"/>
      <c r="H221" s="184"/>
      <c r="I221" s="37" t="s">
        <v>380</v>
      </c>
      <c r="J221" s="39" t="str">
        <f>+VLOOKUP(I221,Insumos_MO!$B$8:$F$3741,2,0)</f>
        <v>H</v>
      </c>
      <c r="K221" s="184">
        <f>+VLOOKUP(I221,Insumos_MO!$B$8:$G$18183,5,0)</f>
        <v>22.61</v>
      </c>
      <c r="L221" s="198">
        <v>0.05</v>
      </c>
      <c r="M221" s="184">
        <f>+ROUND(K221*L221,2)</f>
        <v>1.1299999999999999</v>
      </c>
      <c r="N221" s="205"/>
      <c r="O221" s="3"/>
      <c r="P221" s="24"/>
    </row>
    <row r="222" spans="1:16" s="15" customFormat="1" x14ac:dyDescent="0.35">
      <c r="A222" s="149"/>
      <c r="B222" s="41"/>
      <c r="C222" s="150"/>
      <c r="D222" s="37"/>
      <c r="E222" s="38"/>
      <c r="F222" s="184"/>
      <c r="G222" s="141"/>
      <c r="H222" s="184"/>
      <c r="I222" s="151"/>
      <c r="J222" s="69"/>
      <c r="K222" s="185"/>
      <c r="L222" s="199"/>
      <c r="M222" s="185"/>
      <c r="N222" s="203"/>
      <c r="O222" s="3"/>
      <c r="P222" s="3"/>
    </row>
    <row r="223" spans="1:16" ht="76.5" customHeight="1" x14ac:dyDescent="0.35">
      <c r="A223" s="149" t="str">
        <f>PO_CPE!A135</f>
        <v>2.9.1.53</v>
      </c>
      <c r="B223" s="41" t="str">
        <f>PO_CPE!D135</f>
        <v>DESLOCAMENTO DE CIRCUITOS ELÉTRICOS DE QUADROS QUE SERÃO DESMONTADOS PARA QUADROS PROVISÓRIOS E POSTERIOR RELIGAMENTO DOS MESMOS NOS QUADROS NOVOS</v>
      </c>
      <c r="C223" s="152" t="str">
        <f>PO_CPE!E135</f>
        <v>UNID.</v>
      </c>
      <c r="D223" s="151"/>
      <c r="E223" s="69"/>
      <c r="F223" s="185"/>
      <c r="G223" s="140"/>
      <c r="H223" s="187"/>
      <c r="I223" s="182"/>
      <c r="J223" s="183"/>
      <c r="K223" s="187"/>
      <c r="L223" s="197"/>
      <c r="M223" s="187">
        <f>SUM(M224:M225)</f>
        <v>19.899999999999999</v>
      </c>
      <c r="N223" s="202">
        <f>+IF(A223&gt;0,SUM(H223:M223),0)</f>
        <v>19.899999999999999</v>
      </c>
    </row>
    <row r="224" spans="1:16" s="15" customFormat="1" ht="54" x14ac:dyDescent="0.35">
      <c r="A224" s="154"/>
      <c r="B224" s="41"/>
      <c r="C224" s="152"/>
      <c r="D224" s="37"/>
      <c r="E224" s="38"/>
      <c r="F224" s="184"/>
      <c r="G224" s="141"/>
      <c r="H224" s="184"/>
      <c r="I224" s="37" t="s">
        <v>449</v>
      </c>
      <c r="J224" s="39" t="str">
        <f>+VLOOKUP(I224,Insumos_MO!$B$8:$F$3741,2,0)</f>
        <v>H</v>
      </c>
      <c r="K224" s="184">
        <f>+VLOOKUP(I224,Insumos_MO!$B$8:$G$18183,5,0)</f>
        <v>17.170000000000002</v>
      </c>
      <c r="L224" s="198">
        <v>0.5</v>
      </c>
      <c r="M224" s="184">
        <f>+ROUND(K224*L224,2)</f>
        <v>8.59</v>
      </c>
      <c r="N224" s="205"/>
      <c r="O224" s="3"/>
      <c r="P224" s="24"/>
    </row>
    <row r="225" spans="1:16" s="15" customFormat="1" ht="40.5" x14ac:dyDescent="0.35">
      <c r="A225" s="154"/>
      <c r="B225" s="41"/>
      <c r="C225" s="152"/>
      <c r="D225" s="37"/>
      <c r="E225" s="38"/>
      <c r="F225" s="184"/>
      <c r="G225" s="141"/>
      <c r="H225" s="184"/>
      <c r="I225" s="37" t="s">
        <v>380</v>
      </c>
      <c r="J225" s="39" t="str">
        <f>+VLOOKUP(I225,Insumos_MO!$B$8:$F$3741,2,0)</f>
        <v>H</v>
      </c>
      <c r="K225" s="184">
        <f>+VLOOKUP(I225,Insumos_MO!$B$8:$G$18183,5,0)</f>
        <v>22.61</v>
      </c>
      <c r="L225" s="198">
        <v>0.5</v>
      </c>
      <c r="M225" s="184">
        <f>+ROUND(K225*L225,2)</f>
        <v>11.31</v>
      </c>
      <c r="N225" s="205"/>
      <c r="O225" s="3"/>
      <c r="P225" s="24"/>
    </row>
    <row r="226" spans="1:16" s="15" customFormat="1" x14ac:dyDescent="0.35">
      <c r="A226" s="149"/>
      <c r="B226" s="41"/>
      <c r="C226" s="150"/>
      <c r="D226" s="37"/>
      <c r="E226" s="38"/>
      <c r="F226" s="184"/>
      <c r="G226" s="141"/>
      <c r="H226" s="184"/>
      <c r="I226" s="151"/>
      <c r="J226" s="69"/>
      <c r="K226" s="185"/>
      <c r="L226" s="199"/>
      <c r="M226" s="185"/>
      <c r="N226" s="203"/>
      <c r="O226" s="3"/>
      <c r="P226" s="3"/>
    </row>
    <row r="227" spans="1:16" ht="56.25" customHeight="1" x14ac:dyDescent="0.35">
      <c r="A227" s="149" t="str">
        <f>PO_CPE!A137</f>
        <v>2.9.2.1</v>
      </c>
      <c r="B227" s="539" t="str">
        <f>PO_CPE!D137</f>
        <v>ADAPTADOR EM ALUMÍNIO INJETADO PARA CANALETA 73X25MM - 2X1", COR BRANCA REF. DUTOTEC DT47640.00 OU EQUIVALENTE TÉCNICO</v>
      </c>
      <c r="C227" s="152" t="str">
        <f>PO_CPE!E137</f>
        <v>UNID.</v>
      </c>
      <c r="D227" s="151"/>
      <c r="E227" s="69"/>
      <c r="F227" s="185"/>
      <c r="G227" s="140"/>
      <c r="H227" s="187">
        <f>+SUM(H228:H228)</f>
        <v>53.75</v>
      </c>
      <c r="I227" s="182"/>
      <c r="J227" s="183"/>
      <c r="K227" s="187"/>
      <c r="L227" s="197"/>
      <c r="M227" s="187">
        <f>SUM(M228:M229)</f>
        <v>11.93</v>
      </c>
      <c r="N227" s="202">
        <f>+IF(A227&gt;0,SUM(H227:M227),0)</f>
        <v>65.680000000000007</v>
      </c>
      <c r="O227" s="251"/>
    </row>
    <row r="228" spans="1:16" s="14" customFormat="1" ht="81" x14ac:dyDescent="0.3">
      <c r="A228" s="154"/>
      <c r="B228" s="153"/>
      <c r="C228" s="155"/>
      <c r="D228" s="37" t="s">
        <v>571</v>
      </c>
      <c r="E228" s="38" t="str">
        <f>+VLOOKUP(D228,Insumos_MAT!$B$8:$G$16489,2,0)</f>
        <v>UNID.</v>
      </c>
      <c r="F228" s="184">
        <f>+VLOOKUP(D228,Insumos_MAT!$B$8:$G$16489,6,0)</f>
        <v>53.75</v>
      </c>
      <c r="G228" s="141">
        <v>1</v>
      </c>
      <c r="H228" s="184">
        <f>F228*G228</f>
        <v>53.75</v>
      </c>
      <c r="I228" s="37" t="s">
        <v>449</v>
      </c>
      <c r="J228" s="39" t="str">
        <f>+VLOOKUP(I228,Insumos_MO!$B$8:$F$3741,2,0)</f>
        <v>H</v>
      </c>
      <c r="K228" s="184">
        <f>+VLOOKUP(I228,Insumos_MO!$B$8:$G$18183,5,0)</f>
        <v>17.170000000000002</v>
      </c>
      <c r="L228" s="198">
        <v>0.3</v>
      </c>
      <c r="M228" s="184">
        <f>+ROUND(K228*L228,2)</f>
        <v>5.15</v>
      </c>
      <c r="N228" s="203"/>
    </row>
    <row r="229" spans="1:16" s="24" customFormat="1" ht="40.5" x14ac:dyDescent="0.35">
      <c r="A229" s="154"/>
      <c r="B229" s="37"/>
      <c r="C229" s="156"/>
      <c r="D229" s="37"/>
      <c r="E229" s="38"/>
      <c r="F229" s="184"/>
      <c r="G229" s="141"/>
      <c r="H229" s="184"/>
      <c r="I229" s="37" t="s">
        <v>380</v>
      </c>
      <c r="J229" s="39" t="str">
        <f>+VLOOKUP(I229,Insumos_MO!$B$8:$F$3741,2,0)</f>
        <v>H</v>
      </c>
      <c r="K229" s="184">
        <f>+VLOOKUP(I229,Insumos_MO!$B$8:$G$18183,5,0)</f>
        <v>22.61</v>
      </c>
      <c r="L229" s="198">
        <v>0.3</v>
      </c>
      <c r="M229" s="184">
        <f>+ROUND(K229*L229,2)</f>
        <v>6.78</v>
      </c>
      <c r="N229" s="205"/>
    </row>
    <row r="230" spans="1:16" s="24" customFormat="1" x14ac:dyDescent="0.35">
      <c r="A230" s="154"/>
      <c r="B230" s="37"/>
      <c r="C230" s="156"/>
      <c r="D230" s="37"/>
      <c r="E230" s="38"/>
      <c r="F230" s="184"/>
      <c r="G230" s="141"/>
      <c r="H230" s="184"/>
      <c r="I230" s="37"/>
      <c r="J230" s="39"/>
      <c r="K230" s="184"/>
      <c r="L230" s="198"/>
      <c r="M230" s="184"/>
      <c r="N230" s="205"/>
    </row>
    <row r="231" spans="1:16" ht="24" customHeight="1" x14ac:dyDescent="0.35">
      <c r="A231" s="149" t="str">
        <f>PO_CPE!A138</f>
        <v>2.9.2.2</v>
      </c>
      <c r="B231" s="539" t="str">
        <f>PO_CPE!D138</f>
        <v>BUCHA DE REDUÇÃO 1"X3/4", REF. DUTOTEC DT48089.00 OU EQUIVALENTE TÉCNICO</v>
      </c>
      <c r="C231" s="152" t="str">
        <f>PO_CPE!E138</f>
        <v>UNID.</v>
      </c>
      <c r="D231" s="151"/>
      <c r="E231" s="69"/>
      <c r="F231" s="185"/>
      <c r="G231" s="140"/>
      <c r="H231" s="187">
        <f>+SUM(H232:H232)</f>
        <v>2.82</v>
      </c>
      <c r="I231" s="182"/>
      <c r="J231" s="183"/>
      <c r="K231" s="187"/>
      <c r="L231" s="197"/>
      <c r="M231" s="187">
        <f>SUM(M232:M233)</f>
        <v>1.9899999999999998</v>
      </c>
      <c r="N231" s="202">
        <f>+IF(A231&gt;0,SUM(H231:M231),0)</f>
        <v>4.8099999999999996</v>
      </c>
      <c r="O231" s="251"/>
    </row>
    <row r="232" spans="1:16" s="14" customFormat="1" ht="54" x14ac:dyDescent="0.3">
      <c r="A232" s="154"/>
      <c r="B232" s="153"/>
      <c r="C232" s="155"/>
      <c r="D232" s="37" t="s">
        <v>570</v>
      </c>
      <c r="E232" s="38" t="str">
        <f>+VLOOKUP(D232,Insumos_MAT!$B$8:$G$16489,2,0)</f>
        <v>UNID.</v>
      </c>
      <c r="F232" s="184">
        <f>+VLOOKUP(D232,Insumos_MAT!$B$8:$G$16489,6,0)</f>
        <v>2.82</v>
      </c>
      <c r="G232" s="141">
        <v>1</v>
      </c>
      <c r="H232" s="184">
        <f>F232*G232</f>
        <v>2.82</v>
      </c>
      <c r="I232" s="37" t="s">
        <v>449</v>
      </c>
      <c r="J232" s="39" t="str">
        <f>+VLOOKUP(I232,Insumos_MO!$B$8:$F$3741,2,0)</f>
        <v>H</v>
      </c>
      <c r="K232" s="184">
        <f>+VLOOKUP(I232,Insumos_MO!$B$8:$G$18183,5,0)</f>
        <v>17.170000000000002</v>
      </c>
      <c r="L232" s="198">
        <v>0.05</v>
      </c>
      <c r="M232" s="184">
        <f>+ROUND(K232*L232,2)</f>
        <v>0.86</v>
      </c>
      <c r="N232" s="203"/>
    </row>
    <row r="233" spans="1:16" s="24" customFormat="1" ht="40.5" x14ac:dyDescent="0.35">
      <c r="A233" s="154"/>
      <c r="B233" s="37"/>
      <c r="C233" s="156"/>
      <c r="D233" s="37"/>
      <c r="E233" s="38"/>
      <c r="F233" s="184"/>
      <c r="G233" s="141"/>
      <c r="H233" s="184"/>
      <c r="I233" s="37" t="s">
        <v>380</v>
      </c>
      <c r="J233" s="39" t="str">
        <f>+VLOOKUP(I233,Insumos_MO!$B$8:$F$3741,2,0)</f>
        <v>H</v>
      </c>
      <c r="K233" s="184">
        <f>+VLOOKUP(I233,Insumos_MO!$B$8:$G$18183,5,0)</f>
        <v>22.61</v>
      </c>
      <c r="L233" s="198">
        <v>0.05</v>
      </c>
      <c r="M233" s="184">
        <f>+ROUND(K233*L233,2)</f>
        <v>1.1299999999999999</v>
      </c>
      <c r="N233" s="205"/>
    </row>
    <row r="234" spans="1:16" s="24" customFormat="1" x14ac:dyDescent="0.35">
      <c r="A234" s="154"/>
      <c r="B234" s="37"/>
      <c r="C234" s="156"/>
      <c r="D234" s="37"/>
      <c r="E234" s="38"/>
      <c r="F234" s="184"/>
      <c r="G234" s="141"/>
      <c r="H234" s="184"/>
      <c r="I234" s="37"/>
      <c r="J234" s="39"/>
      <c r="K234" s="184"/>
      <c r="L234" s="198"/>
      <c r="M234" s="184"/>
      <c r="N234" s="205"/>
    </row>
    <row r="235" spans="1:16" ht="91.5" customHeight="1" x14ac:dyDescent="0.35">
      <c r="A235" s="515" t="str">
        <f>PO_CPE!A140</f>
        <v>2.9.2.4</v>
      </c>
      <c r="B235" s="41" t="str">
        <f>PO_CPE!D140</f>
        <v>SUPORTE PARA EQUIPAMENTOS, COR BRANCA, PARA CANALETA 73MM COM 2 RJ45 CAT 6 KEYSTONE  REF. SUPORTE DUTOTEC DT 62242.00 E CONECTOR DUTOTEC KEYSTONE RJ 45 CAT.6 OU EQUIVALENTE TÉCNICO</v>
      </c>
      <c r="C235" s="152" t="str">
        <f>PO_CPE!E140</f>
        <v>UNID.</v>
      </c>
      <c r="D235" s="151"/>
      <c r="E235" s="69"/>
      <c r="F235" s="185"/>
      <c r="G235" s="140"/>
      <c r="H235" s="187">
        <f>+SUM(H236:H237)</f>
        <v>83.12</v>
      </c>
      <c r="I235" s="182"/>
      <c r="J235" s="183"/>
      <c r="K235" s="187"/>
      <c r="L235" s="197"/>
      <c r="M235" s="187">
        <f>SUM(M236:M237)</f>
        <v>19.899999999999999</v>
      </c>
      <c r="N235" s="202">
        <f>+IF(A235&gt;0,SUM(H235:M235),0)</f>
        <v>103.02000000000001</v>
      </c>
    </row>
    <row r="236" spans="1:16" s="15" customFormat="1" ht="54" x14ac:dyDescent="0.35">
      <c r="A236" s="154"/>
      <c r="B236" s="41"/>
      <c r="C236" s="152"/>
      <c r="D236" s="37" t="s">
        <v>910</v>
      </c>
      <c r="E236" s="38" t="str">
        <f>+VLOOKUP(D236,Insumos_MAT!$B$8:$G$16489,2,0)</f>
        <v>UNID.</v>
      </c>
      <c r="F236" s="184">
        <f>+VLOOKUP(D236,Insumos_MAT!$B$8:$G$16489,6,0)</f>
        <v>32.1</v>
      </c>
      <c r="G236" s="141">
        <v>1</v>
      </c>
      <c r="H236" s="184">
        <f>F236*G236</f>
        <v>32.1</v>
      </c>
      <c r="I236" s="37" t="s">
        <v>449</v>
      </c>
      <c r="J236" s="39" t="str">
        <f>+VLOOKUP(I236,Insumos_MO!$B$8:$F$3741,2,0)</f>
        <v>H</v>
      </c>
      <c r="K236" s="184">
        <f>+VLOOKUP(I236,Insumos_MO!$B$8:$G$18183,5,0)</f>
        <v>17.170000000000002</v>
      </c>
      <c r="L236" s="198">
        <v>0.5</v>
      </c>
      <c r="M236" s="184">
        <f>+ROUND(K236*L236,2)</f>
        <v>8.59</v>
      </c>
      <c r="N236" s="205"/>
      <c r="O236" s="3"/>
      <c r="P236" s="24"/>
    </row>
    <row r="237" spans="1:16" s="15" customFormat="1" ht="40.5" x14ac:dyDescent="0.35">
      <c r="A237" s="149"/>
      <c r="B237" s="41"/>
      <c r="C237" s="150"/>
      <c r="D237" s="37" t="s">
        <v>575</v>
      </c>
      <c r="E237" s="38" t="str">
        <f>+VLOOKUP(D237,Insumos_MAT!$B$8:$G$16489,2,0)</f>
        <v>UNID.</v>
      </c>
      <c r="F237" s="184">
        <f>+VLOOKUP(D237,Insumos_MAT!$B$8:$G$16489,6,0)</f>
        <v>25.51</v>
      </c>
      <c r="G237" s="141">
        <v>2</v>
      </c>
      <c r="H237" s="184">
        <f>F237*G237</f>
        <v>51.02</v>
      </c>
      <c r="I237" s="37" t="s">
        <v>380</v>
      </c>
      <c r="J237" s="39" t="str">
        <f>+VLOOKUP(I237,Insumos_MO!$B$8:$F$3741,2,0)</f>
        <v>H</v>
      </c>
      <c r="K237" s="184">
        <f>+VLOOKUP(I237,Insumos_MO!$B$8:$G$18183,5,0)</f>
        <v>22.61</v>
      </c>
      <c r="L237" s="198">
        <v>0.5</v>
      </c>
      <c r="M237" s="184">
        <f>+ROUND(K237*L237,2)</f>
        <v>11.31</v>
      </c>
      <c r="N237" s="203"/>
      <c r="O237" s="3"/>
      <c r="P237" s="3"/>
    </row>
    <row r="238" spans="1:16" s="15" customFormat="1" x14ac:dyDescent="0.35">
      <c r="A238" s="149"/>
      <c r="B238" s="41"/>
      <c r="C238" s="150"/>
      <c r="D238" s="37"/>
      <c r="E238" s="38"/>
      <c r="F238" s="184"/>
      <c r="G238" s="141"/>
      <c r="H238" s="184"/>
      <c r="I238" s="151"/>
      <c r="J238" s="69"/>
      <c r="K238" s="185"/>
      <c r="L238" s="199"/>
      <c r="M238" s="185"/>
      <c r="N238" s="203"/>
      <c r="O238" s="3"/>
      <c r="P238" s="3"/>
    </row>
    <row r="239" spans="1:16" ht="91.5" customHeight="1" x14ac:dyDescent="0.35">
      <c r="A239" s="515" t="str">
        <f>PO_CPE!A141</f>
        <v>2.9.2.5</v>
      </c>
      <c r="B239" s="41" t="str">
        <f>PO_CPE!D141</f>
        <v>SUPORTE PARA EQUIPAMENTOS, COR BRANCA, PARA CANALETA 73MM COM 1 RJ11 KEYSTONE REF. SUPORTE DUTOTEC DT 62242.00 E CONECTOR DUTOTEC KEYSTONE RJ 11 OU EQUIVALENTE TÉCNICO</v>
      </c>
      <c r="C239" s="152" t="str">
        <f>PO_CPE!E141</f>
        <v>UNID.</v>
      </c>
      <c r="D239" s="151"/>
      <c r="E239" s="69"/>
      <c r="F239" s="185"/>
      <c r="G239" s="140"/>
      <c r="H239" s="187">
        <f>+SUM(H240:H241)</f>
        <v>57.61</v>
      </c>
      <c r="I239" s="182"/>
      <c r="J239" s="183"/>
      <c r="K239" s="187"/>
      <c r="L239" s="197"/>
      <c r="M239" s="187">
        <f>SUM(M240:M241)</f>
        <v>15.91</v>
      </c>
      <c r="N239" s="202">
        <f>+IF(A239&gt;0,SUM(H239:M239),0)</f>
        <v>73.52</v>
      </c>
    </row>
    <row r="240" spans="1:16" s="15" customFormat="1" ht="54" x14ac:dyDescent="0.35">
      <c r="A240" s="154"/>
      <c r="B240" s="41"/>
      <c r="C240" s="152"/>
      <c r="D240" s="37" t="s">
        <v>910</v>
      </c>
      <c r="E240" s="38" t="str">
        <f>+VLOOKUP(D240,Insumos_MAT!$B$8:$G$16489,2,0)</f>
        <v>UNID.</v>
      </c>
      <c r="F240" s="184">
        <f>+VLOOKUP(D240,Insumos_MAT!$B$8:$G$16489,6,0)</f>
        <v>32.1</v>
      </c>
      <c r="G240" s="141">
        <v>1</v>
      </c>
      <c r="H240" s="184">
        <f>F240*G240</f>
        <v>32.1</v>
      </c>
      <c r="I240" s="37" t="s">
        <v>449</v>
      </c>
      <c r="J240" s="39" t="str">
        <f>+VLOOKUP(I240,Insumos_MO!$B$8:$F$3741,2,0)</f>
        <v>H</v>
      </c>
      <c r="K240" s="184">
        <f>+VLOOKUP(I240,Insumos_MO!$B$8:$G$18183,5,0)</f>
        <v>17.170000000000002</v>
      </c>
      <c r="L240" s="198">
        <v>0.4</v>
      </c>
      <c r="M240" s="184">
        <f>+ROUND(K240*L240,2)</f>
        <v>6.87</v>
      </c>
      <c r="N240" s="205"/>
      <c r="O240" s="3"/>
      <c r="P240" s="24"/>
    </row>
    <row r="241" spans="1:16" s="15" customFormat="1" ht="40.5" x14ac:dyDescent="0.35">
      <c r="A241" s="149"/>
      <c r="B241" s="41"/>
      <c r="C241" s="150"/>
      <c r="D241" s="37" t="s">
        <v>575</v>
      </c>
      <c r="E241" s="38" t="str">
        <f>+VLOOKUP(D241,Insumos_MAT!$B$8:$G$16489,2,0)</f>
        <v>UNID.</v>
      </c>
      <c r="F241" s="184">
        <f>+VLOOKUP(D241,Insumos_MAT!$B$8:$G$16489,6,0)</f>
        <v>25.51</v>
      </c>
      <c r="G241" s="141">
        <v>1</v>
      </c>
      <c r="H241" s="184">
        <f>F241*G241</f>
        <v>25.51</v>
      </c>
      <c r="I241" s="37" t="s">
        <v>380</v>
      </c>
      <c r="J241" s="39" t="str">
        <f>+VLOOKUP(I241,Insumos_MO!$B$8:$F$3741,2,0)</f>
        <v>H</v>
      </c>
      <c r="K241" s="184">
        <f>+VLOOKUP(I241,Insumos_MO!$B$8:$G$18183,5,0)</f>
        <v>22.61</v>
      </c>
      <c r="L241" s="198">
        <v>0.4</v>
      </c>
      <c r="M241" s="184">
        <f>+ROUND(K241*L241,2)</f>
        <v>9.0399999999999991</v>
      </c>
      <c r="N241" s="203"/>
      <c r="O241" s="3"/>
      <c r="P241" s="3"/>
    </row>
    <row r="242" spans="1:16" s="15" customFormat="1" x14ac:dyDescent="0.35">
      <c r="A242" s="149"/>
      <c r="B242" s="41"/>
      <c r="C242" s="150"/>
      <c r="D242" s="37"/>
      <c r="E242" s="38"/>
      <c r="F242" s="184"/>
      <c r="G242" s="141"/>
      <c r="H242" s="184"/>
      <c r="I242" s="151"/>
      <c r="J242" s="69"/>
      <c r="K242" s="185"/>
      <c r="L242" s="199"/>
      <c r="M242" s="185"/>
      <c r="N242" s="203"/>
      <c r="O242" s="3"/>
      <c r="P242" s="3"/>
    </row>
    <row r="243" spans="1:16" ht="48" customHeight="1" x14ac:dyDescent="0.35">
      <c r="A243" s="149" t="str">
        <f>PO_CPE!A122</f>
        <v>2.9.1.40</v>
      </c>
      <c r="B243" s="539" t="str">
        <f>PO_CPE!D122</f>
        <v>COLUNA PISO TETO EM ALUMÍNIO EXTRUDADO, COR BRANCA, DIMENSÃO 3M COM REGULAGEM PARA ATÉ 3,80M, SECÇÃO 100MMX103MM, COM ESPAÇO PARA FIXAÇÃO DE PORTA EQUIPAMENTOS DE LARGURA 73MM , REF. DUTOTEC DT 76240 COM LUVAS DE ARREMATE DT 76940 OU EQUIVALENTE TÉCNICO</v>
      </c>
      <c r="C243" s="152" t="str">
        <f>PO_CPE!E122</f>
        <v>UNID.</v>
      </c>
      <c r="D243" s="151"/>
      <c r="E243" s="69"/>
      <c r="F243" s="185"/>
      <c r="G243" s="140"/>
      <c r="H243" s="187">
        <f>+SUM(H244:H245)</f>
        <v>1531.4</v>
      </c>
      <c r="I243" s="182"/>
      <c r="J243" s="183"/>
      <c r="K243" s="187"/>
      <c r="L243" s="197"/>
      <c r="M243" s="187">
        <f>SUM(M244:M245)</f>
        <v>39.78</v>
      </c>
      <c r="N243" s="202">
        <f>+IF(A243&gt;0,SUM(H243:M243),0)</f>
        <v>1571.18</v>
      </c>
      <c r="O243" s="251"/>
    </row>
    <row r="244" spans="1:16" s="14" customFormat="1" ht="81.75" customHeight="1" x14ac:dyDescent="0.3">
      <c r="A244" s="154"/>
      <c r="B244" s="153"/>
      <c r="C244" s="155"/>
      <c r="D244" s="37" t="s">
        <v>912</v>
      </c>
      <c r="E244" s="38" t="str">
        <f>+VLOOKUP(D244,Insumos_MAT!$B$8:$G$16489,2,0)</f>
        <v>UNID.</v>
      </c>
      <c r="F244" s="184">
        <f>+VLOOKUP(D244,Insumos_MAT!$B$8:$G$16489,6,0)</f>
        <v>1501</v>
      </c>
      <c r="G244" s="141">
        <v>1</v>
      </c>
      <c r="H244" s="184">
        <f>F244*G244</f>
        <v>1501</v>
      </c>
      <c r="I244" s="37" t="s">
        <v>449</v>
      </c>
      <c r="J244" s="39" t="str">
        <f>+VLOOKUP(I244,Insumos_MO!$B$8:$F$3741,2,0)</f>
        <v>H</v>
      </c>
      <c r="K244" s="184">
        <f>+VLOOKUP(I244,Insumos_MO!$B$8:$G$18183,5,0)</f>
        <v>17.170000000000002</v>
      </c>
      <c r="L244" s="198">
        <v>1</v>
      </c>
      <c r="M244" s="184">
        <f>+ROUND(K244*L244,2)</f>
        <v>17.170000000000002</v>
      </c>
      <c r="N244" s="203"/>
    </row>
    <row r="245" spans="1:16" s="24" customFormat="1" ht="40.5" x14ac:dyDescent="0.35">
      <c r="A245" s="154"/>
      <c r="B245" s="37"/>
      <c r="C245" s="156"/>
      <c r="D245" s="37" t="s">
        <v>913</v>
      </c>
      <c r="E245" s="38" t="str">
        <f>+VLOOKUP(D245,Insumos_MAT!$B$8:$G$16489,2,0)</f>
        <v>UNID.</v>
      </c>
      <c r="F245" s="184">
        <f>+VLOOKUP(D245,Insumos_MAT!$B$8:$G$16489,6,0)</f>
        <v>30.4</v>
      </c>
      <c r="G245" s="141">
        <v>1</v>
      </c>
      <c r="H245" s="184">
        <f>F245*G245</f>
        <v>30.4</v>
      </c>
      <c r="I245" s="37" t="s">
        <v>380</v>
      </c>
      <c r="J245" s="39" t="str">
        <f>+VLOOKUP(I245,Insumos_MO!$B$8:$F$3741,2,0)</f>
        <v>H</v>
      </c>
      <c r="K245" s="184">
        <f>+VLOOKUP(I245,Insumos_MO!$B$8:$G$18183,5,0)</f>
        <v>22.61</v>
      </c>
      <c r="L245" s="198">
        <v>1</v>
      </c>
      <c r="M245" s="184">
        <f>+ROUND(K245*L245,2)</f>
        <v>22.61</v>
      </c>
      <c r="N245" s="205"/>
    </row>
    <row r="246" spans="1:16" s="24" customFormat="1" x14ac:dyDescent="0.35">
      <c r="A246" s="154"/>
      <c r="B246" s="37"/>
      <c r="C246" s="156"/>
      <c r="D246" s="37"/>
      <c r="E246" s="38"/>
      <c r="F246" s="184"/>
      <c r="G246" s="141"/>
      <c r="H246" s="184"/>
      <c r="I246" s="37"/>
      <c r="J246" s="39"/>
      <c r="K246" s="184"/>
      <c r="L246" s="198"/>
      <c r="M246" s="184"/>
      <c r="N246" s="205"/>
    </row>
    <row r="247" spans="1:16" ht="41.25" x14ac:dyDescent="0.35">
      <c r="A247" s="149" t="str">
        <f>PO_CPE!A129</f>
        <v>2.9.1.47</v>
      </c>
      <c r="B247" s="539" t="str">
        <f>PO_CPE!D129</f>
        <v>CANALETA DE ALUMINIO COR NATURAL, COM TAMPA 73MMX25MM, COM 1 SEPTO DIVISOR DE 1/3 E 2/3</v>
      </c>
      <c r="C247" s="152" t="str">
        <f>PO_CPE!E129</f>
        <v>M</v>
      </c>
      <c r="D247" s="151"/>
      <c r="E247" s="69"/>
      <c r="F247" s="185"/>
      <c r="G247" s="140"/>
      <c r="H247" s="187">
        <f>+SUM(H248:H249)</f>
        <v>122.09</v>
      </c>
      <c r="I247" s="182"/>
      <c r="J247" s="183"/>
      <c r="K247" s="187"/>
      <c r="L247" s="197"/>
      <c r="M247" s="187">
        <f>SUM(M248:M249)</f>
        <v>23.87</v>
      </c>
      <c r="N247" s="202">
        <f>+IF(A247&gt;0,SUM(H247:M247),0)</f>
        <v>145.96</v>
      </c>
      <c r="O247" s="251"/>
    </row>
    <row r="248" spans="1:16" s="14" customFormat="1" ht="81" x14ac:dyDescent="0.3">
      <c r="A248" s="154"/>
      <c r="B248" s="153"/>
      <c r="C248" s="155"/>
      <c r="D248" s="37" t="s">
        <v>572</v>
      </c>
      <c r="E248" s="38" t="str">
        <f>+VLOOKUP(D248,Insumos_MAT!$B$8:$G$16489,2,0)</f>
        <v>M</v>
      </c>
      <c r="F248" s="184">
        <f>+VLOOKUP(D248,Insumos_MAT!$B$8:$G$16489,6,0)</f>
        <v>86.16</v>
      </c>
      <c r="G248" s="141">
        <v>1</v>
      </c>
      <c r="H248" s="184">
        <f>F248*G248</f>
        <v>86.16</v>
      </c>
      <c r="I248" s="37" t="s">
        <v>449</v>
      </c>
      <c r="J248" s="39" t="str">
        <f>+VLOOKUP(I248,Insumos_MO!$B$8:$F$3741,2,0)</f>
        <v>H</v>
      </c>
      <c r="K248" s="184">
        <f>+VLOOKUP(I248,Insumos_MO!$B$8:$G$18183,5,0)</f>
        <v>17.170000000000002</v>
      </c>
      <c r="L248" s="198">
        <v>0.6</v>
      </c>
      <c r="M248" s="184">
        <f>+ROUND(K248*L248,2)</f>
        <v>10.3</v>
      </c>
      <c r="N248" s="203"/>
    </row>
    <row r="249" spans="1:16" s="24" customFormat="1" ht="40.5" x14ac:dyDescent="0.35">
      <c r="A249" s="154"/>
      <c r="B249" s="37"/>
      <c r="C249" s="156"/>
      <c r="D249" s="37" t="s">
        <v>573</v>
      </c>
      <c r="E249" s="38" t="str">
        <f>+VLOOKUP(D249,Insumos_MAT!$B$8:$G$16489,2,0)</f>
        <v>M</v>
      </c>
      <c r="F249" s="184">
        <f>+VLOOKUP(D249,Insumos_MAT!$B$8:$G$16489,6,0)</f>
        <v>35.93</v>
      </c>
      <c r="G249" s="141">
        <v>1</v>
      </c>
      <c r="H249" s="184">
        <f>F249*G249</f>
        <v>35.93</v>
      </c>
      <c r="I249" s="37" t="s">
        <v>380</v>
      </c>
      <c r="J249" s="39" t="str">
        <f>+VLOOKUP(I249,Insumos_MO!$B$8:$F$3741,2,0)</f>
        <v>H</v>
      </c>
      <c r="K249" s="184">
        <f>+VLOOKUP(I249,Insumos_MO!$B$8:$G$18183,5,0)</f>
        <v>22.61</v>
      </c>
      <c r="L249" s="198">
        <v>0.6</v>
      </c>
      <c r="M249" s="184">
        <f>+ROUND(K249*L249,2)</f>
        <v>13.57</v>
      </c>
      <c r="N249" s="205"/>
    </row>
    <row r="250" spans="1:16" s="24" customFormat="1" x14ac:dyDescent="0.35">
      <c r="A250" s="154"/>
      <c r="B250" s="37"/>
      <c r="C250" s="156"/>
      <c r="D250" s="37"/>
      <c r="E250" s="38"/>
      <c r="F250" s="184"/>
      <c r="G250" s="141"/>
      <c r="H250" s="184"/>
      <c r="I250" s="37"/>
      <c r="J250" s="39"/>
      <c r="K250" s="184"/>
      <c r="L250" s="198"/>
      <c r="M250" s="184"/>
      <c r="N250" s="205"/>
    </row>
    <row r="251" spans="1:16" ht="74.25" customHeight="1" x14ac:dyDescent="0.35">
      <c r="A251" s="149" t="str">
        <f>PO_CPE!A139</f>
        <v>2.9.2.3</v>
      </c>
      <c r="B251" s="539" t="str">
        <f>PO_CPE!D139</f>
        <v xml:space="preserve">SUPORTE PARA EQUIPAMENTOS, COR BRANCA, PARA CANALETA 73MM COM 1 RJ45 CAT.6 KEYSTONE REF DUTOTEC DT62242.00 + CONECTOR KEYSTONE RJ 45 CAT.6 OU EQUIVALENTE TÉCNICO </v>
      </c>
      <c r="C251" s="152" t="str">
        <f>PO_CPE!E139</f>
        <v>UNID.</v>
      </c>
      <c r="D251" s="151"/>
      <c r="E251" s="69"/>
      <c r="F251" s="185"/>
      <c r="G251" s="140"/>
      <c r="H251" s="187">
        <f>+SUM(H252:H253)</f>
        <v>57.61</v>
      </c>
      <c r="I251" s="182"/>
      <c r="J251" s="183"/>
      <c r="K251" s="187"/>
      <c r="L251" s="197"/>
      <c r="M251" s="187">
        <f>SUM(M252:M253)</f>
        <v>15.91</v>
      </c>
      <c r="N251" s="202">
        <f>+IF(A251&gt;0,SUM(H251:M251),0)</f>
        <v>73.52</v>
      </c>
      <c r="O251" s="251"/>
    </row>
    <row r="252" spans="1:16" s="14" customFormat="1" ht="81" x14ac:dyDescent="0.3">
      <c r="A252" s="154"/>
      <c r="B252" s="153"/>
      <c r="C252" s="155"/>
      <c r="D252" s="37" t="s">
        <v>574</v>
      </c>
      <c r="E252" s="38" t="str">
        <f>+VLOOKUP(D252,Insumos_MAT!$B$8:$G$16489,2,0)</f>
        <v>UNID.</v>
      </c>
      <c r="F252" s="184">
        <f>+VLOOKUP(D252,Insumos_MAT!$B$8:$G$16489,6,0)</f>
        <v>32.1</v>
      </c>
      <c r="G252" s="141">
        <v>1</v>
      </c>
      <c r="H252" s="184">
        <f>F252*G252</f>
        <v>32.1</v>
      </c>
      <c r="I252" s="37" t="s">
        <v>449</v>
      </c>
      <c r="J252" s="39" t="str">
        <f>+VLOOKUP(I252,Insumos_MO!$B$8:$F$3741,2,0)</f>
        <v>H</v>
      </c>
      <c r="K252" s="184">
        <f>+VLOOKUP(I252,Insumos_MO!$B$8:$G$18183,5,0)</f>
        <v>17.170000000000002</v>
      </c>
      <c r="L252" s="198">
        <v>0.4</v>
      </c>
      <c r="M252" s="184">
        <f>+ROUND(K252*L252,2)</f>
        <v>6.87</v>
      </c>
      <c r="N252" s="203"/>
    </row>
    <row r="253" spans="1:16" s="24" customFormat="1" ht="40.5" x14ac:dyDescent="0.35">
      <c r="A253" s="154"/>
      <c r="B253" s="37"/>
      <c r="C253" s="156"/>
      <c r="D253" s="37" t="s">
        <v>575</v>
      </c>
      <c r="E253" s="38" t="str">
        <f>+VLOOKUP(D253,Insumos_MAT!$B$8:$G$16489,2,0)</f>
        <v>UNID.</v>
      </c>
      <c r="F253" s="184">
        <f>+VLOOKUP(D253,Insumos_MAT!$B$8:$G$16489,6,0)</f>
        <v>25.51</v>
      </c>
      <c r="G253" s="141">
        <v>1</v>
      </c>
      <c r="H253" s="184">
        <f t="shared" ref="H253" si="1">F253*G253</f>
        <v>25.51</v>
      </c>
      <c r="I253" s="37" t="s">
        <v>380</v>
      </c>
      <c r="J253" s="39" t="str">
        <f>+VLOOKUP(I253,Insumos_MO!$B$8:$F$3741,2,0)</f>
        <v>H</v>
      </c>
      <c r="K253" s="184">
        <f>+VLOOKUP(I253,Insumos_MO!$B$8:$G$18183,5,0)</f>
        <v>22.61</v>
      </c>
      <c r="L253" s="198">
        <v>0.4</v>
      </c>
      <c r="M253" s="184">
        <f>+ROUND(K253*L253,2)</f>
        <v>9.0399999999999991</v>
      </c>
      <c r="N253" s="205"/>
    </row>
    <row r="254" spans="1:16" s="24" customFormat="1" x14ac:dyDescent="0.35">
      <c r="A254" s="154"/>
      <c r="B254" s="37"/>
      <c r="C254" s="156"/>
      <c r="D254" s="37"/>
      <c r="E254" s="38"/>
      <c r="F254" s="184"/>
      <c r="G254" s="141"/>
      <c r="H254" s="184"/>
      <c r="I254" s="37"/>
      <c r="J254" s="39"/>
      <c r="K254" s="184"/>
      <c r="L254" s="198"/>
      <c r="M254" s="184"/>
      <c r="N254" s="205"/>
    </row>
    <row r="255" spans="1:16" ht="24" customHeight="1" x14ac:dyDescent="0.35">
      <c r="A255" s="149" t="str">
        <f>PO_CPE!A145</f>
        <v>2.9.2.9</v>
      </c>
      <c r="B255" s="539" t="str">
        <f>PO_CPE!D145</f>
        <v>PATCH CORD, CAT.6,  1,0M (LÓGICA) - COR AZUL</v>
      </c>
      <c r="C255" s="152" t="str">
        <f>PO_CPE!E145</f>
        <v>UNID.</v>
      </c>
      <c r="D255" s="151"/>
      <c r="E255" s="69"/>
      <c r="F255" s="185"/>
      <c r="G255" s="140"/>
      <c r="H255" s="187">
        <f>+SUM(H256:H256)</f>
        <v>25.31</v>
      </c>
      <c r="I255" s="182"/>
      <c r="J255" s="183"/>
      <c r="K255" s="187"/>
      <c r="L255" s="197"/>
      <c r="M255" s="187">
        <f>SUM(M256:M257)</f>
        <v>3.9799999999999995</v>
      </c>
      <c r="N255" s="202">
        <f>+IF(A255&gt;0,SUM(H255:M255),0)</f>
        <v>29.29</v>
      </c>
      <c r="O255" s="251"/>
    </row>
    <row r="256" spans="1:16" s="14" customFormat="1" ht="54" x14ac:dyDescent="0.3">
      <c r="A256" s="154"/>
      <c r="B256" s="153"/>
      <c r="C256" s="155"/>
      <c r="D256" s="37" t="s">
        <v>479</v>
      </c>
      <c r="E256" s="38" t="str">
        <f>+VLOOKUP(D256,Insumos_MAT!$B$8:$G$16489,2,0)</f>
        <v>UNID.</v>
      </c>
      <c r="F256" s="184">
        <f>+VLOOKUP(D256,Insumos_MAT!$B$8:$G$16489,6,0)</f>
        <v>25.31</v>
      </c>
      <c r="G256" s="141">
        <v>1</v>
      </c>
      <c r="H256" s="184">
        <f>F256*G256</f>
        <v>25.31</v>
      </c>
      <c r="I256" s="37" t="s">
        <v>449</v>
      </c>
      <c r="J256" s="39" t="str">
        <f>+VLOOKUP(I256,Insumos_MO!$B$8:$F$3741,2,0)</f>
        <v>H</v>
      </c>
      <c r="K256" s="184">
        <f>+VLOOKUP(I256,Insumos_MO!$B$8:$G$18183,5,0)</f>
        <v>17.170000000000002</v>
      </c>
      <c r="L256" s="198">
        <v>0.1</v>
      </c>
      <c r="M256" s="184">
        <f>+ROUND(K256*L256,2)</f>
        <v>1.72</v>
      </c>
      <c r="N256" s="203"/>
    </row>
    <row r="257" spans="1:15" s="24" customFormat="1" ht="40.5" x14ac:dyDescent="0.35">
      <c r="A257" s="154"/>
      <c r="B257" s="37"/>
      <c r="C257" s="156"/>
      <c r="D257" s="37"/>
      <c r="E257" s="38"/>
      <c r="F257" s="184"/>
      <c r="G257" s="141"/>
      <c r="H257" s="184"/>
      <c r="I257" s="37" t="s">
        <v>380</v>
      </c>
      <c r="J257" s="39" t="str">
        <f>+VLOOKUP(I257,Insumos_MO!$B$8:$F$3741,2,0)</f>
        <v>H</v>
      </c>
      <c r="K257" s="184">
        <f>+VLOOKUP(I257,Insumos_MO!$B$8:$G$18183,5,0)</f>
        <v>22.61</v>
      </c>
      <c r="L257" s="198">
        <v>0.1</v>
      </c>
      <c r="M257" s="184">
        <f>+ROUND(K257*L257,2)</f>
        <v>2.2599999999999998</v>
      </c>
      <c r="N257" s="205"/>
    </row>
    <row r="258" spans="1:15" s="24" customFormat="1" x14ac:dyDescent="0.35">
      <c r="A258" s="154"/>
      <c r="B258" s="37"/>
      <c r="C258" s="156"/>
      <c r="D258" s="37"/>
      <c r="E258" s="38"/>
      <c r="F258" s="184"/>
      <c r="G258" s="141"/>
      <c r="H258" s="184"/>
      <c r="I258" s="37"/>
      <c r="J258" s="39"/>
      <c r="K258" s="184"/>
      <c r="L258" s="198"/>
      <c r="M258" s="184"/>
      <c r="N258" s="205"/>
    </row>
    <row r="259" spans="1:15" ht="24" customHeight="1" x14ac:dyDescent="0.35">
      <c r="A259" s="149" t="str">
        <f>PO_CPE!A146</f>
        <v>2.9.2.10</v>
      </c>
      <c r="B259" s="539" t="str">
        <f>PO_CPE!D146</f>
        <v>PATCH CORD, CAT.6,  2,0M (LÓGICA) - COR AZUL</v>
      </c>
      <c r="C259" s="152" t="str">
        <f>PO_CPE!E146</f>
        <v>UNID.</v>
      </c>
      <c r="D259" s="151"/>
      <c r="E259" s="69"/>
      <c r="F259" s="185"/>
      <c r="G259" s="140"/>
      <c r="H259" s="187">
        <f>+SUM(H260:H260)</f>
        <v>29.04</v>
      </c>
      <c r="I259" s="182"/>
      <c r="J259" s="183"/>
      <c r="K259" s="187"/>
      <c r="L259" s="197"/>
      <c r="M259" s="187">
        <f>SUM(M260:M261)</f>
        <v>3.9799999999999995</v>
      </c>
      <c r="N259" s="202">
        <f>+IF(A259&gt;0,SUM(H259:M259),0)</f>
        <v>33.019999999999996</v>
      </c>
      <c r="O259" s="251"/>
    </row>
    <row r="260" spans="1:15" s="14" customFormat="1" ht="54" x14ac:dyDescent="0.3">
      <c r="A260" s="154"/>
      <c r="B260" s="153"/>
      <c r="C260" s="155"/>
      <c r="D260" s="37" t="s">
        <v>481</v>
      </c>
      <c r="E260" s="38" t="str">
        <f>+VLOOKUP(D260,Insumos_MAT!$B$8:$G$16489,2,0)</f>
        <v>UNID.</v>
      </c>
      <c r="F260" s="184">
        <f>+VLOOKUP(D260,Insumos_MAT!$B$8:$G$16489,6,0)</f>
        <v>29.04</v>
      </c>
      <c r="G260" s="141">
        <v>1</v>
      </c>
      <c r="H260" s="184">
        <f>F260*G260</f>
        <v>29.04</v>
      </c>
      <c r="I260" s="37" t="s">
        <v>449</v>
      </c>
      <c r="J260" s="39" t="str">
        <f>+VLOOKUP(I260,Insumos_MO!$B$8:$F$3741,2,0)</f>
        <v>H</v>
      </c>
      <c r="K260" s="184">
        <f>+VLOOKUP(I260,Insumos_MO!$B$8:$G$18183,5,0)</f>
        <v>17.170000000000002</v>
      </c>
      <c r="L260" s="198">
        <v>0.1</v>
      </c>
      <c r="M260" s="184">
        <f>+ROUND(K260*L260,2)</f>
        <v>1.72</v>
      </c>
      <c r="N260" s="203"/>
    </row>
    <row r="261" spans="1:15" s="24" customFormat="1" ht="40.5" x14ac:dyDescent="0.35">
      <c r="A261" s="154"/>
      <c r="B261" s="37"/>
      <c r="C261" s="156"/>
      <c r="D261" s="37"/>
      <c r="E261" s="38"/>
      <c r="F261" s="184"/>
      <c r="G261" s="141"/>
      <c r="H261" s="184"/>
      <c r="I261" s="37" t="s">
        <v>380</v>
      </c>
      <c r="J261" s="39" t="str">
        <f>+VLOOKUP(I261,Insumos_MO!$B$8:$F$3741,2,0)</f>
        <v>H</v>
      </c>
      <c r="K261" s="184">
        <f>+VLOOKUP(I261,Insumos_MO!$B$8:$G$18183,5,0)</f>
        <v>22.61</v>
      </c>
      <c r="L261" s="198">
        <v>0.1</v>
      </c>
      <c r="M261" s="184">
        <f>+ROUND(K261*L261,2)</f>
        <v>2.2599999999999998</v>
      </c>
      <c r="N261" s="205"/>
    </row>
    <row r="262" spans="1:15" s="24" customFormat="1" x14ac:dyDescent="0.35">
      <c r="A262" s="154"/>
      <c r="B262" s="37"/>
      <c r="C262" s="156"/>
      <c r="D262" s="37"/>
      <c r="E262" s="38"/>
      <c r="F262" s="184"/>
      <c r="G262" s="141"/>
      <c r="H262" s="184"/>
      <c r="I262" s="37"/>
      <c r="J262" s="39"/>
      <c r="K262" s="184"/>
      <c r="L262" s="198"/>
      <c r="M262" s="184"/>
      <c r="N262" s="205"/>
    </row>
    <row r="263" spans="1:15" ht="42" customHeight="1" x14ac:dyDescent="0.35">
      <c r="A263" s="149" t="str">
        <f>PO_CPE!A154</f>
        <v>2.9.2.18</v>
      </c>
      <c r="B263" s="539" t="str">
        <f>PO_CPE!D154</f>
        <v>ESPELHO 100MMX50MM EM COR BRANCA COM 1 CONECTOR FÊMEA (TOMADA ) RJ 45 CAT.6</v>
      </c>
      <c r="C263" s="152" t="str">
        <f>PO_CPE!E154</f>
        <v>UNID.</v>
      </c>
      <c r="D263" s="151"/>
      <c r="E263" s="69"/>
      <c r="F263" s="185"/>
      <c r="G263" s="140"/>
      <c r="H263" s="187">
        <f>+SUM(H264:H264)</f>
        <v>29.9</v>
      </c>
      <c r="I263" s="182"/>
      <c r="J263" s="183"/>
      <c r="K263" s="187"/>
      <c r="L263" s="197"/>
      <c r="M263" s="187">
        <f>SUM(M264:M265)</f>
        <v>19.73</v>
      </c>
      <c r="N263" s="202">
        <f>+IF(A263&gt;0,SUM(H263:M263),0)</f>
        <v>49.629999999999995</v>
      </c>
      <c r="O263" s="251"/>
    </row>
    <row r="264" spans="1:15" s="14" customFormat="1" ht="54" x14ac:dyDescent="0.3">
      <c r="A264" s="154"/>
      <c r="B264" s="153"/>
      <c r="C264" s="155"/>
      <c r="D264" s="37" t="s">
        <v>576</v>
      </c>
      <c r="E264" s="38" t="str">
        <f>+VLOOKUP(D264,Insumos_MAT!$B$8:$G$16489,2,0)</f>
        <v>UNID.</v>
      </c>
      <c r="F264" s="184">
        <f>+VLOOKUP(D264,Insumos_MAT!$B$8:$G$16489,6,0)</f>
        <v>29.9</v>
      </c>
      <c r="G264" s="141">
        <v>1</v>
      </c>
      <c r="H264" s="184">
        <f>F264*G264</f>
        <v>29.9</v>
      </c>
      <c r="I264" s="37" t="s">
        <v>449</v>
      </c>
      <c r="J264" s="39" t="str">
        <f>+VLOOKUP(I264,Insumos_MO!$B$8:$F$3741,2,0)</f>
        <v>H</v>
      </c>
      <c r="K264" s="184">
        <f>+VLOOKUP(I264,Insumos_MO!$B$8:$G$18183,5,0)</f>
        <v>17.170000000000002</v>
      </c>
      <c r="L264" s="198">
        <v>0.496</v>
      </c>
      <c r="M264" s="184">
        <f>+ROUND(K264*L264,2)</f>
        <v>8.52</v>
      </c>
      <c r="N264" s="203"/>
    </row>
    <row r="265" spans="1:15" s="24" customFormat="1" ht="40.5" x14ac:dyDescent="0.35">
      <c r="A265" s="154"/>
      <c r="B265" s="37"/>
      <c r="C265" s="156"/>
      <c r="D265" s="37"/>
      <c r="E265" s="38"/>
      <c r="F265" s="184"/>
      <c r="G265" s="141"/>
      <c r="H265" s="184"/>
      <c r="I265" s="37" t="s">
        <v>380</v>
      </c>
      <c r="J265" s="39" t="str">
        <f>+VLOOKUP(I265,Insumos_MO!$B$8:$F$3741,2,0)</f>
        <v>H</v>
      </c>
      <c r="K265" s="184">
        <f>+VLOOKUP(I265,Insumos_MO!$B$8:$G$18183,5,0)</f>
        <v>22.61</v>
      </c>
      <c r="L265" s="198">
        <v>0.496</v>
      </c>
      <c r="M265" s="184">
        <f>+ROUND(K265*L265,2)</f>
        <v>11.21</v>
      </c>
      <c r="N265" s="205"/>
    </row>
    <row r="266" spans="1:15" s="24" customFormat="1" x14ac:dyDescent="0.35">
      <c r="A266" s="154"/>
      <c r="B266" s="37"/>
      <c r="C266" s="156"/>
      <c r="D266" s="37"/>
      <c r="E266" s="38"/>
      <c r="F266" s="184"/>
      <c r="G266" s="141"/>
      <c r="H266" s="184"/>
      <c r="I266" s="37"/>
      <c r="J266" s="39"/>
      <c r="K266" s="184"/>
      <c r="L266" s="198"/>
      <c r="M266" s="184"/>
      <c r="N266" s="205"/>
    </row>
    <row r="267" spans="1:15" x14ac:dyDescent="0.35">
      <c r="A267" s="149" t="str">
        <f>PO_CPE!A131</f>
        <v>2.9.1.49</v>
      </c>
      <c r="B267" s="539" t="str">
        <f>PO_CPE!D131</f>
        <v>RETIRADA DE INTERRUPTORES</v>
      </c>
      <c r="C267" s="152" t="str">
        <f>PO_CPE!E131</f>
        <v>UNID.</v>
      </c>
      <c r="D267" s="151"/>
      <c r="E267" s="69"/>
      <c r="F267" s="185"/>
      <c r="G267" s="140"/>
      <c r="H267" s="187"/>
      <c r="I267" s="182"/>
      <c r="J267" s="183"/>
      <c r="K267" s="187"/>
      <c r="L267" s="197"/>
      <c r="M267" s="187">
        <f>SUM(M268:M268)</f>
        <v>2.58</v>
      </c>
      <c r="N267" s="202">
        <f>+IF(A267&gt;0,SUM(H267:M267),0)</f>
        <v>2.58</v>
      </c>
      <c r="O267" s="251"/>
    </row>
    <row r="268" spans="1:15" s="14" customFormat="1" ht="24" customHeight="1" x14ac:dyDescent="0.3">
      <c r="A268" s="154"/>
      <c r="B268" s="153"/>
      <c r="C268" s="155"/>
      <c r="D268" s="37"/>
      <c r="E268" s="38"/>
      <c r="F268" s="184"/>
      <c r="G268" s="141"/>
      <c r="H268" s="184"/>
      <c r="I268" s="37" t="s">
        <v>449</v>
      </c>
      <c r="J268" s="39" t="str">
        <f>+VLOOKUP(I268,Insumos_MO!$B$8:$F$3741,2,0)</f>
        <v>H</v>
      </c>
      <c r="K268" s="184">
        <f>+VLOOKUP(I268,Insumos_MO!$B$8:$G$18183,5,0)</f>
        <v>17.170000000000002</v>
      </c>
      <c r="L268" s="198">
        <v>0.15</v>
      </c>
      <c r="M268" s="184">
        <f>+ROUND(K268*L268,2)</f>
        <v>2.58</v>
      </c>
      <c r="N268" s="203"/>
    </row>
    <row r="269" spans="1:15" s="14" customFormat="1" ht="24" customHeight="1" x14ac:dyDescent="0.3">
      <c r="A269" s="154"/>
      <c r="B269" s="153"/>
      <c r="C269" s="155"/>
      <c r="D269" s="37"/>
      <c r="E269" s="38"/>
      <c r="F269" s="184"/>
      <c r="G269" s="141"/>
      <c r="H269" s="184"/>
      <c r="I269" s="37"/>
      <c r="J269" s="39"/>
      <c r="K269" s="184"/>
      <c r="L269" s="198"/>
      <c r="M269" s="184"/>
      <c r="N269" s="203"/>
    </row>
    <row r="270" spans="1:15" x14ac:dyDescent="0.35">
      <c r="A270" s="149" t="str">
        <f>PO_CPE!A133</f>
        <v>2.9.1.51</v>
      </c>
      <c r="B270" s="539" t="str">
        <f>PO_CPE!D133</f>
        <v>RETIRADA DE  TOMADAS ELÉTRICAS</v>
      </c>
      <c r="C270" s="152" t="str">
        <f>PO_CPE!E133</f>
        <v>UNID.</v>
      </c>
      <c r="D270" s="151"/>
      <c r="E270" s="69"/>
      <c r="F270" s="185"/>
      <c r="G270" s="140"/>
      <c r="H270" s="187"/>
      <c r="I270" s="182"/>
      <c r="J270" s="183"/>
      <c r="K270" s="187"/>
      <c r="L270" s="197"/>
      <c r="M270" s="187">
        <f>SUM(M271:M271)</f>
        <v>2.58</v>
      </c>
      <c r="N270" s="202">
        <f>+IF(A270&gt;0,SUM(H270:M270),0)</f>
        <v>2.58</v>
      </c>
      <c r="O270" s="251"/>
    </row>
    <row r="271" spans="1:15" s="14" customFormat="1" ht="24" customHeight="1" x14ac:dyDescent="0.3">
      <c r="A271" s="154"/>
      <c r="B271" s="153"/>
      <c r="C271" s="155"/>
      <c r="D271" s="37"/>
      <c r="E271" s="38"/>
      <c r="F271" s="184"/>
      <c r="G271" s="141"/>
      <c r="H271" s="184"/>
      <c r="I271" s="37" t="s">
        <v>449</v>
      </c>
      <c r="J271" s="39" t="str">
        <f>+VLOOKUP(I271,Insumos_MO!$B$8:$F$3741,2,0)</f>
        <v>H</v>
      </c>
      <c r="K271" s="184">
        <f>+VLOOKUP(I271,Insumos_MO!$B$8:$G$18183,5,0)</f>
        <v>17.170000000000002</v>
      </c>
      <c r="L271" s="198">
        <v>0.15</v>
      </c>
      <c r="M271" s="184">
        <f>+ROUND(K271*L271,2)</f>
        <v>2.58</v>
      </c>
      <c r="N271" s="203"/>
    </row>
    <row r="272" spans="1:15" s="14" customFormat="1" ht="24" customHeight="1" x14ac:dyDescent="0.3">
      <c r="A272" s="154"/>
      <c r="B272" s="153"/>
      <c r="C272" s="155"/>
      <c r="D272" s="37"/>
      <c r="E272" s="38"/>
      <c r="F272" s="184"/>
      <c r="G272" s="141"/>
      <c r="H272" s="184"/>
      <c r="I272" s="37"/>
      <c r="J272" s="39"/>
      <c r="K272" s="184"/>
      <c r="L272" s="198"/>
      <c r="M272" s="184"/>
      <c r="N272" s="203"/>
    </row>
    <row r="273" spans="1:15" x14ac:dyDescent="0.35">
      <c r="A273" s="149" t="str">
        <f>PO_CPE!A134</f>
        <v>2.9.1.52</v>
      </c>
      <c r="B273" s="539" t="str">
        <f>PO_CPE!D134</f>
        <v>RETIRADA DE  QUADROS ELÉTRICOS</v>
      </c>
      <c r="C273" s="152" t="str">
        <f>PO_CPE!E134</f>
        <v>UNID.</v>
      </c>
      <c r="D273" s="151"/>
      <c r="E273" s="69"/>
      <c r="F273" s="185"/>
      <c r="G273" s="140"/>
      <c r="H273" s="187"/>
      <c r="I273" s="182"/>
      <c r="J273" s="183"/>
      <c r="K273" s="187"/>
      <c r="L273" s="197"/>
      <c r="M273" s="187">
        <f>SUM(M274:M274)</f>
        <v>17.170000000000002</v>
      </c>
      <c r="N273" s="202">
        <f>+IF(A273&gt;0,SUM(H273:M273),0)</f>
        <v>17.170000000000002</v>
      </c>
      <c r="O273" s="251"/>
    </row>
    <row r="274" spans="1:15" s="14" customFormat="1" ht="24" customHeight="1" x14ac:dyDescent="0.3">
      <c r="A274" s="154"/>
      <c r="B274" s="153"/>
      <c r="C274" s="155"/>
      <c r="D274" s="37"/>
      <c r="E274" s="38"/>
      <c r="F274" s="184"/>
      <c r="G274" s="141"/>
      <c r="H274" s="184"/>
      <c r="I274" s="37" t="s">
        <v>449</v>
      </c>
      <c r="J274" s="39" t="str">
        <f>+VLOOKUP(I274,Insumos_MO!$B$8:$F$3741,2,0)</f>
        <v>H</v>
      </c>
      <c r="K274" s="184">
        <f>+VLOOKUP(I274,Insumos_MO!$B$8:$G$18183,5,0)</f>
        <v>17.170000000000002</v>
      </c>
      <c r="L274" s="198">
        <v>1</v>
      </c>
      <c r="M274" s="184">
        <f>+ROUND(K274*L274,2)</f>
        <v>17.170000000000002</v>
      </c>
      <c r="N274" s="203"/>
    </row>
    <row r="275" spans="1:15" s="14" customFormat="1" ht="24" customHeight="1" x14ac:dyDescent="0.3">
      <c r="A275" s="154"/>
      <c r="B275" s="153"/>
      <c r="C275" s="155"/>
      <c r="D275" s="37"/>
      <c r="E275" s="38"/>
      <c r="F275" s="184"/>
      <c r="G275" s="141"/>
      <c r="H275" s="184"/>
      <c r="I275" s="37"/>
      <c r="J275" s="39"/>
      <c r="K275" s="184"/>
      <c r="L275" s="198"/>
      <c r="M275" s="184"/>
      <c r="N275" s="203"/>
    </row>
    <row r="276" spans="1:15" ht="30" customHeight="1" x14ac:dyDescent="0.35">
      <c r="A276" s="149" t="str">
        <f>PO_CPE!A155</f>
        <v>2.9.2.19</v>
      </c>
      <c r="B276" s="539" t="str">
        <f>PO_CPE!D155</f>
        <v>RETIRADA DE  CIRCUITOS ELÉTRICOS</v>
      </c>
      <c r="C276" s="152" t="str">
        <f>PO_CPE!E155</f>
        <v>UNID.</v>
      </c>
      <c r="D276" s="151"/>
      <c r="E276" s="69"/>
      <c r="F276" s="185"/>
      <c r="G276" s="140"/>
      <c r="H276" s="187"/>
      <c r="I276" s="182"/>
      <c r="J276" s="183"/>
      <c r="K276" s="187"/>
      <c r="L276" s="197"/>
      <c r="M276" s="187">
        <f>SUM(M277:M278)</f>
        <v>7.41</v>
      </c>
      <c r="N276" s="202">
        <f>+IF(A276&gt;0,SUM(H276:M276),0)</f>
        <v>7.41</v>
      </c>
      <c r="O276" s="251"/>
    </row>
    <row r="277" spans="1:15" s="14" customFormat="1" ht="54" x14ac:dyDescent="0.3">
      <c r="A277" s="154"/>
      <c r="B277" s="153"/>
      <c r="C277" s="155"/>
      <c r="D277" s="37"/>
      <c r="E277" s="38"/>
      <c r="F277" s="184"/>
      <c r="G277" s="141"/>
      <c r="H277" s="184"/>
      <c r="I277" s="37" t="s">
        <v>449</v>
      </c>
      <c r="J277" s="39" t="str">
        <f>+VLOOKUP(I277,Insumos_MO!$B$8:$F$3741,2,0)</f>
        <v>H</v>
      </c>
      <c r="K277" s="184">
        <f>+VLOOKUP(I277,Insumos_MO!$B$8:$G$18183,5,0)</f>
        <v>17.170000000000002</v>
      </c>
      <c r="L277" s="198">
        <v>0.3</v>
      </c>
      <c r="M277" s="184">
        <f>+ROUND(K277*L277,2)</f>
        <v>5.15</v>
      </c>
      <c r="N277" s="203"/>
    </row>
    <row r="278" spans="1:15" s="24" customFormat="1" ht="40.5" x14ac:dyDescent="0.35">
      <c r="A278" s="154"/>
      <c r="B278" s="37"/>
      <c r="C278" s="156"/>
      <c r="D278" s="37"/>
      <c r="E278" s="38"/>
      <c r="F278" s="184"/>
      <c r="G278" s="141"/>
      <c r="H278" s="184"/>
      <c r="I278" s="37" t="s">
        <v>380</v>
      </c>
      <c r="J278" s="39" t="str">
        <f>+VLOOKUP(I278,Insumos_MO!$B$8:$F$3741,2,0)</f>
        <v>H</v>
      </c>
      <c r="K278" s="184">
        <f>+VLOOKUP(I278,Insumos_MO!$B$8:$G$18183,5,0)</f>
        <v>22.61</v>
      </c>
      <c r="L278" s="198">
        <v>0.1</v>
      </c>
      <c r="M278" s="184">
        <f>+ROUND(K278*L278,2)</f>
        <v>2.2599999999999998</v>
      </c>
      <c r="N278" s="205"/>
    </row>
    <row r="279" spans="1:15" s="24" customFormat="1" x14ac:dyDescent="0.35">
      <c r="A279" s="154"/>
      <c r="B279" s="37"/>
      <c r="C279" s="156"/>
      <c r="D279" s="37"/>
      <c r="E279" s="38"/>
      <c r="F279" s="184"/>
      <c r="G279" s="141"/>
      <c r="H279" s="184"/>
      <c r="I279" s="37"/>
      <c r="J279" s="39"/>
      <c r="K279" s="184"/>
      <c r="L279" s="198"/>
      <c r="M279" s="184"/>
      <c r="N279" s="205"/>
    </row>
    <row r="280" spans="1:15" ht="24" customHeight="1" x14ac:dyDescent="0.35">
      <c r="A280" s="149" t="str">
        <f>PO_CPE!A156</f>
        <v>2.9.2.20</v>
      </c>
      <c r="B280" s="539" t="str">
        <f>PO_CPE!D156</f>
        <v>RETIRADA DE  TOMADAS DE TELECOMUNICAÇÕES</v>
      </c>
      <c r="C280" s="152" t="str">
        <f>PO_CPE!E156</f>
        <v>UNID.</v>
      </c>
      <c r="D280" s="151"/>
      <c r="E280" s="69"/>
      <c r="F280" s="185"/>
      <c r="G280" s="140"/>
      <c r="H280" s="187"/>
      <c r="I280" s="182"/>
      <c r="J280" s="183"/>
      <c r="K280" s="187"/>
      <c r="L280" s="197"/>
      <c r="M280" s="187">
        <f>SUM(M281:M281)</f>
        <v>2.58</v>
      </c>
      <c r="N280" s="202">
        <f>+IF(A280&gt;0,SUM(H280:M280),0)</f>
        <v>2.58</v>
      </c>
      <c r="O280" s="251"/>
    </row>
    <row r="281" spans="1:15" s="14" customFormat="1" ht="24" customHeight="1" x14ac:dyDescent="0.3">
      <c r="A281" s="154"/>
      <c r="B281" s="153"/>
      <c r="C281" s="155"/>
      <c r="D281" s="37"/>
      <c r="E281" s="38"/>
      <c r="F281" s="184"/>
      <c r="G281" s="141"/>
      <c r="H281" s="184"/>
      <c r="I281" s="37" t="s">
        <v>449</v>
      </c>
      <c r="J281" s="39" t="str">
        <f>+VLOOKUP(I281,Insumos_MO!$B$8:$F$3741,2,0)</f>
        <v>H</v>
      </c>
      <c r="K281" s="184">
        <f>+VLOOKUP(I281,Insumos_MO!$B$8:$G$18183,5,0)</f>
        <v>17.170000000000002</v>
      </c>
      <c r="L281" s="198">
        <v>0.15</v>
      </c>
      <c r="M281" s="184">
        <f>+ROUND(K281*L281,2)</f>
        <v>2.58</v>
      </c>
      <c r="N281" s="203"/>
    </row>
    <row r="282" spans="1:15" s="14" customFormat="1" ht="24" customHeight="1" x14ac:dyDescent="0.3">
      <c r="A282" s="154"/>
      <c r="B282" s="153"/>
      <c r="C282" s="155"/>
      <c r="D282" s="37"/>
      <c r="E282" s="38"/>
      <c r="F282" s="184"/>
      <c r="G282" s="141"/>
      <c r="H282" s="184"/>
      <c r="I282" s="37"/>
      <c r="J282" s="39"/>
      <c r="K282" s="184"/>
      <c r="L282" s="198"/>
      <c r="M282" s="184"/>
      <c r="N282" s="203"/>
    </row>
    <row r="283" spans="1:15" ht="24" customHeight="1" x14ac:dyDescent="0.35">
      <c r="A283" s="149" t="str">
        <f>PO_CPE!A157</f>
        <v>2.9.2.21</v>
      </c>
      <c r="B283" s="539" t="str">
        <f>PO_CPE!D157</f>
        <v>CERTIFICAÇÃO DE PONTOS RJ45 CAT.6</v>
      </c>
      <c r="C283" s="152" t="str">
        <f>PO_CPE!E157</f>
        <v>UNID.</v>
      </c>
      <c r="D283" s="151"/>
      <c r="E283" s="69"/>
      <c r="F283" s="185"/>
      <c r="G283" s="140"/>
      <c r="H283" s="187"/>
      <c r="I283" s="182"/>
      <c r="J283" s="183"/>
      <c r="K283" s="187"/>
      <c r="L283" s="197"/>
      <c r="M283" s="187">
        <f>SUM(M284:M284)</f>
        <v>4.5199999999999996</v>
      </c>
      <c r="N283" s="202">
        <f>+IF(A283&gt;0,SUM(H283:M283),0)</f>
        <v>4.5199999999999996</v>
      </c>
      <c r="O283" s="251"/>
    </row>
    <row r="284" spans="1:15" s="14" customFormat="1" ht="24" customHeight="1" x14ac:dyDescent="0.3">
      <c r="A284" s="154"/>
      <c r="B284" s="153"/>
      <c r="C284" s="155"/>
      <c r="D284" s="37"/>
      <c r="E284" s="38"/>
      <c r="F284" s="184"/>
      <c r="G284" s="141"/>
      <c r="H284" s="184"/>
      <c r="I284" s="37" t="s">
        <v>380</v>
      </c>
      <c r="J284" s="39" t="str">
        <f>+VLOOKUP(I284,Insumos_MO!$B$8:$F$3741,2,0)</f>
        <v>H</v>
      </c>
      <c r="K284" s="184">
        <f>+VLOOKUP(I284,Insumos_MO!$B$8:$G$18183,5,0)</f>
        <v>22.61</v>
      </c>
      <c r="L284" s="198">
        <v>0.2</v>
      </c>
      <c r="M284" s="184">
        <f>+ROUND(K284*L284,2)</f>
        <v>4.5199999999999996</v>
      </c>
      <c r="N284" s="203"/>
    </row>
    <row r="285" spans="1:15" s="14" customFormat="1" ht="24" customHeight="1" x14ac:dyDescent="0.3">
      <c r="A285" s="154"/>
      <c r="B285" s="153"/>
      <c r="C285" s="155"/>
      <c r="D285" s="37"/>
      <c r="E285" s="38"/>
      <c r="F285" s="184"/>
      <c r="G285" s="141"/>
      <c r="H285" s="184"/>
      <c r="I285" s="37"/>
      <c r="J285" s="39"/>
      <c r="K285" s="184"/>
      <c r="L285" s="198"/>
      <c r="M285" s="184"/>
      <c r="N285" s="203"/>
    </row>
    <row r="286" spans="1:15" x14ac:dyDescent="0.35">
      <c r="A286" s="516" t="str">
        <f>PO_CPE!A181</f>
        <v>2.10.2.1</v>
      </c>
      <c r="B286" s="539" t="str">
        <f>PO_CPE!D181</f>
        <v>CAIXA SIFONADA 150X150X50MM</v>
      </c>
      <c r="C286" s="384" t="str">
        <f>PO_CPE!E181</f>
        <v>UNID.</v>
      </c>
      <c r="D286" s="151"/>
      <c r="E286" s="69"/>
      <c r="F286" s="185"/>
      <c r="G286" s="140"/>
      <c r="H286" s="187">
        <f>+SUM(H287:H292)</f>
        <v>52.545732999999998</v>
      </c>
      <c r="I286" s="182"/>
      <c r="J286" s="183"/>
      <c r="K286" s="187"/>
      <c r="L286" s="197"/>
      <c r="M286" s="187">
        <f>SUM(M287:M288)</f>
        <v>10.79</v>
      </c>
      <c r="N286" s="202">
        <f>+IF(A286&gt;0,SUM(H286:M286),0)</f>
        <v>63.335732999999998</v>
      </c>
      <c r="O286" s="251"/>
    </row>
    <row r="287" spans="1:15" s="14" customFormat="1" ht="54" x14ac:dyDescent="0.3">
      <c r="A287" s="154"/>
      <c r="B287" s="153"/>
      <c r="C287" s="155"/>
      <c r="D287" s="37" t="s">
        <v>580</v>
      </c>
      <c r="E287" s="38" t="str">
        <f>+VLOOKUP(D287,Insumos_MAT!$B$8:$G$16489,2,0)</f>
        <v>UNID.</v>
      </c>
      <c r="F287" s="184">
        <f>+VLOOKUP(D287,Insumos_MAT!$B$8:$G$16489,6,0)</f>
        <v>83.11</v>
      </c>
      <c r="G287" s="141">
        <v>1.4800000000000001E-2</v>
      </c>
      <c r="H287" s="184">
        <f>F287*G287</f>
        <v>1.2300280000000001</v>
      </c>
      <c r="I287" s="37" t="s">
        <v>150</v>
      </c>
      <c r="J287" s="39" t="str">
        <f>+VLOOKUP(I287,Insumos_MO!$B$8:$F$3741,2,0)</f>
        <v>H</v>
      </c>
      <c r="K287" s="184">
        <f>+VLOOKUP(I287,Insumos_MO!$B$8:$G$18183,5,0)</f>
        <v>20.39</v>
      </c>
      <c r="L287" s="198">
        <v>0.3</v>
      </c>
      <c r="M287" s="184">
        <f>+ROUND(K287*L287,2)</f>
        <v>6.12</v>
      </c>
      <c r="N287" s="203"/>
    </row>
    <row r="288" spans="1:15" s="24" customFormat="1" ht="67.5" x14ac:dyDescent="0.35">
      <c r="A288" s="154"/>
      <c r="B288" s="37"/>
      <c r="C288" s="156"/>
      <c r="D288" s="37" t="s">
        <v>687</v>
      </c>
      <c r="E288" s="38" t="str">
        <f>+VLOOKUP(D288,Insumos_MAT!$B$8:$G$16489,2,0)</f>
        <v>UNID.</v>
      </c>
      <c r="F288" s="184">
        <f>+VLOOKUP(D288,Insumos_MAT!$B$8:$G$16489,6,0)</f>
        <v>1.89</v>
      </c>
      <c r="G288" s="141">
        <v>1</v>
      </c>
      <c r="H288" s="184">
        <f>F288*G288</f>
        <v>1.89</v>
      </c>
      <c r="I288" s="37" t="s">
        <v>577</v>
      </c>
      <c r="J288" s="39" t="str">
        <f>+VLOOKUP(I288,Insumos_MO!$B$8:$F$3741,2,0)</f>
        <v>H</v>
      </c>
      <c r="K288" s="184">
        <f>+VLOOKUP(I288,Insumos_MO!$B$8:$G$18183,5,0)</f>
        <v>15.58</v>
      </c>
      <c r="L288" s="198">
        <v>0.3</v>
      </c>
      <c r="M288" s="184">
        <f>+ROUND(K288*L288,2)</f>
        <v>4.67</v>
      </c>
      <c r="N288" s="205"/>
    </row>
    <row r="289" spans="1:15" s="24" customFormat="1" ht="94.5" x14ac:dyDescent="0.35">
      <c r="A289" s="154"/>
      <c r="B289" s="37"/>
      <c r="C289" s="156"/>
      <c r="D289" s="37" t="s">
        <v>688</v>
      </c>
      <c r="E289" s="38" t="str">
        <f>+VLOOKUP(D289,Insumos_MAT!$B$8:$G$16489,2,0)</f>
        <v>UNID.</v>
      </c>
      <c r="F289" s="184">
        <f>+VLOOKUP(D289,Insumos_MAT!$B$8:$G$16489,6,0)</f>
        <v>30.43</v>
      </c>
      <c r="G289" s="141">
        <v>0.02</v>
      </c>
      <c r="H289" s="184">
        <f t="shared" ref="H289:H291" si="2">F289*G289</f>
        <v>0.60860000000000003</v>
      </c>
      <c r="I289" s="37"/>
      <c r="J289" s="39"/>
      <c r="K289" s="184"/>
      <c r="L289" s="198"/>
      <c r="M289" s="184"/>
      <c r="N289" s="205"/>
    </row>
    <row r="290" spans="1:15" s="24" customFormat="1" ht="40.5" x14ac:dyDescent="0.35">
      <c r="A290" s="154"/>
      <c r="B290" s="37"/>
      <c r="C290" s="156"/>
      <c r="D290" s="37" t="s">
        <v>581</v>
      </c>
      <c r="E290" s="38" t="str">
        <f>+VLOOKUP(D290,Insumos_MAT!$B$8:$G$16489,2,0)</f>
        <v>UNID.</v>
      </c>
      <c r="F290" s="184">
        <f>+VLOOKUP(D290,Insumos_MAT!$B$8:$G$16489,6,0)</f>
        <v>72.17</v>
      </c>
      <c r="G290" s="141">
        <v>2.2499999999999999E-2</v>
      </c>
      <c r="H290" s="184">
        <f t="shared" si="2"/>
        <v>1.6238250000000001</v>
      </c>
      <c r="I290" s="37"/>
      <c r="J290" s="39"/>
      <c r="K290" s="184"/>
      <c r="L290" s="198"/>
      <c r="M290" s="184"/>
      <c r="N290" s="205"/>
    </row>
    <row r="291" spans="1:15" s="24" customFormat="1" ht="27" x14ac:dyDescent="0.35">
      <c r="A291" s="154"/>
      <c r="B291" s="37"/>
      <c r="C291" s="156"/>
      <c r="D291" s="37" t="s">
        <v>579</v>
      </c>
      <c r="E291" s="38" t="str">
        <f>+VLOOKUP(D291,Insumos_MAT!$B$8:$G$16489,2,0)</f>
        <v>UNID.</v>
      </c>
      <c r="F291" s="184">
        <f>+VLOOKUP(D291,Insumos_MAT!$B$8:$G$16489,6,0)</f>
        <v>1.77</v>
      </c>
      <c r="G291" s="141">
        <v>6.4000000000000001E-2</v>
      </c>
      <c r="H291" s="184">
        <f t="shared" si="2"/>
        <v>0.11328000000000001</v>
      </c>
      <c r="I291" s="37"/>
      <c r="J291" s="39"/>
      <c r="K291" s="184"/>
      <c r="L291" s="198"/>
      <c r="M291" s="184"/>
      <c r="N291" s="205"/>
    </row>
    <row r="292" spans="1:15" s="24" customFormat="1" ht="54" x14ac:dyDescent="0.35">
      <c r="A292" s="154"/>
      <c r="B292" s="37"/>
      <c r="C292" s="156"/>
      <c r="D292" s="37" t="s">
        <v>689</v>
      </c>
      <c r="E292" s="38" t="str">
        <f>+VLOOKUP(D292,Insumos_MAT!$B$8:$G$16489,2,0)</f>
        <v>UNID.</v>
      </c>
      <c r="F292" s="184">
        <f>+VLOOKUP(D292,Insumos_MAT!$B$8:$G$16489,6,0)</f>
        <v>47.08</v>
      </c>
      <c r="G292" s="141">
        <v>1</v>
      </c>
      <c r="H292" s="184">
        <f t="shared" ref="H292" si="3">F292*G292</f>
        <v>47.08</v>
      </c>
      <c r="I292" s="37"/>
      <c r="J292" s="39"/>
      <c r="K292" s="184"/>
      <c r="L292" s="198"/>
      <c r="M292" s="184"/>
      <c r="N292" s="205"/>
    </row>
    <row r="293" spans="1:15" s="24" customFormat="1" x14ac:dyDescent="0.35">
      <c r="A293" s="154"/>
      <c r="B293" s="37"/>
      <c r="C293" s="156"/>
      <c r="D293" s="37"/>
      <c r="E293" s="38"/>
      <c r="F293" s="184"/>
      <c r="G293" s="141"/>
      <c r="H293" s="184"/>
      <c r="I293" s="37"/>
      <c r="J293" s="39"/>
      <c r="K293" s="184"/>
      <c r="L293" s="198"/>
      <c r="M293" s="184"/>
      <c r="N293" s="205"/>
    </row>
    <row r="294" spans="1:15" x14ac:dyDescent="0.35">
      <c r="A294" s="516" t="str">
        <f>PO_CPE!A182</f>
        <v>2.10.2.2</v>
      </c>
      <c r="B294" s="539" t="str">
        <f>PO_CPE!D182</f>
        <v>CAIXA SIFONADA 250X230X75MM</v>
      </c>
      <c r="C294" s="384" t="str">
        <f>PO_CPE!E182</f>
        <v>UNID.</v>
      </c>
      <c r="D294" s="151"/>
      <c r="E294" s="69"/>
      <c r="F294" s="185"/>
      <c r="G294" s="140"/>
      <c r="H294" s="187">
        <f>+SUM(H295:H300)</f>
        <v>127.405733</v>
      </c>
      <c r="I294" s="182"/>
      <c r="J294" s="183"/>
      <c r="K294" s="187"/>
      <c r="L294" s="197"/>
      <c r="M294" s="187">
        <f>SUM(M295:M296)</f>
        <v>17.989999999999998</v>
      </c>
      <c r="N294" s="202">
        <f>+IF(A294&gt;0,SUM(H294:M294),0)</f>
        <v>145.39573300000001</v>
      </c>
      <c r="O294" s="251"/>
    </row>
    <row r="295" spans="1:15" s="14" customFormat="1" ht="54" x14ac:dyDescent="0.3">
      <c r="A295" s="154"/>
      <c r="B295" s="153"/>
      <c r="C295" s="155"/>
      <c r="D295" s="37" t="s">
        <v>580</v>
      </c>
      <c r="E295" s="38" t="str">
        <f>+VLOOKUP(D295,Insumos_MAT!$B$8:$G$16489,2,0)</f>
        <v>UNID.</v>
      </c>
      <c r="F295" s="184">
        <f>+VLOOKUP(D295,Insumos_MAT!$B$8:$G$16489,6,0)</f>
        <v>83.11</v>
      </c>
      <c r="G295" s="141">
        <v>1.4800000000000001E-2</v>
      </c>
      <c r="H295" s="184">
        <f>F295*G295</f>
        <v>1.2300280000000001</v>
      </c>
      <c r="I295" s="37" t="s">
        <v>150</v>
      </c>
      <c r="J295" s="39" t="str">
        <f>+VLOOKUP(I295,Insumos_MO!$B$8:$F$3741,2,0)</f>
        <v>H</v>
      </c>
      <c r="K295" s="184">
        <f>+VLOOKUP(I295,Insumos_MO!$B$8:$G$18183,5,0)</f>
        <v>20.39</v>
      </c>
      <c r="L295" s="198">
        <v>0.5</v>
      </c>
      <c r="M295" s="184">
        <f>+ROUND(K295*L295,2)</f>
        <v>10.199999999999999</v>
      </c>
      <c r="N295" s="203"/>
    </row>
    <row r="296" spans="1:15" s="24" customFormat="1" ht="67.5" x14ac:dyDescent="0.35">
      <c r="A296" s="154"/>
      <c r="B296" s="37"/>
      <c r="C296" s="156"/>
      <c r="D296" s="37" t="s">
        <v>696</v>
      </c>
      <c r="E296" s="38" t="str">
        <f>+VLOOKUP(D296,Insumos_MAT!$B$8:$G$16489,2,0)</f>
        <v>UNID.</v>
      </c>
      <c r="F296" s="184">
        <f>+VLOOKUP(D296,Insumos_MAT!$B$8:$G$16489,6,0)</f>
        <v>2.67</v>
      </c>
      <c r="G296" s="141">
        <v>1</v>
      </c>
      <c r="H296" s="184">
        <f>F296*G296</f>
        <v>2.67</v>
      </c>
      <c r="I296" s="37" t="s">
        <v>577</v>
      </c>
      <c r="J296" s="39" t="str">
        <f>+VLOOKUP(I296,Insumos_MO!$B$8:$F$3741,2,0)</f>
        <v>H</v>
      </c>
      <c r="K296" s="184">
        <f>+VLOOKUP(I296,Insumos_MO!$B$8:$G$18183,5,0)</f>
        <v>15.58</v>
      </c>
      <c r="L296" s="198">
        <v>0.5</v>
      </c>
      <c r="M296" s="184">
        <f>+ROUND(K296*L296,2)</f>
        <v>7.79</v>
      </c>
      <c r="N296" s="205"/>
    </row>
    <row r="297" spans="1:15" s="24" customFormat="1" ht="94.5" x14ac:dyDescent="0.35">
      <c r="A297" s="154"/>
      <c r="B297" s="37"/>
      <c r="C297" s="156"/>
      <c r="D297" s="37" t="s">
        <v>688</v>
      </c>
      <c r="E297" s="38" t="str">
        <f>+VLOOKUP(D297,Insumos_MAT!$B$8:$G$16489,2,0)</f>
        <v>UNID.</v>
      </c>
      <c r="F297" s="184">
        <f>+VLOOKUP(D297,Insumos_MAT!$B$8:$G$16489,6,0)</f>
        <v>30.43</v>
      </c>
      <c r="G297" s="141">
        <v>0.02</v>
      </c>
      <c r="H297" s="184">
        <f t="shared" ref="H297:H300" si="4">F297*G297</f>
        <v>0.60860000000000003</v>
      </c>
      <c r="I297" s="37"/>
      <c r="J297" s="39"/>
      <c r="K297" s="184"/>
      <c r="L297" s="198"/>
      <c r="M297" s="184"/>
      <c r="N297" s="205"/>
    </row>
    <row r="298" spans="1:15" s="24" customFormat="1" ht="40.5" x14ac:dyDescent="0.35">
      <c r="A298" s="154"/>
      <c r="B298" s="37"/>
      <c r="C298" s="156"/>
      <c r="D298" s="37" t="s">
        <v>581</v>
      </c>
      <c r="E298" s="38" t="str">
        <f>+VLOOKUP(D298,Insumos_MAT!$B$8:$G$16489,2,0)</f>
        <v>UNID.</v>
      </c>
      <c r="F298" s="184">
        <f>+VLOOKUP(D298,Insumos_MAT!$B$8:$G$16489,6,0)</f>
        <v>72.17</v>
      </c>
      <c r="G298" s="141">
        <v>2.2499999999999999E-2</v>
      </c>
      <c r="H298" s="184">
        <f t="shared" si="4"/>
        <v>1.6238250000000001</v>
      </c>
      <c r="I298" s="37"/>
      <c r="J298" s="39"/>
      <c r="K298" s="184"/>
      <c r="L298" s="198"/>
      <c r="M298" s="184"/>
      <c r="N298" s="205"/>
    </row>
    <row r="299" spans="1:15" s="24" customFormat="1" ht="27" x14ac:dyDescent="0.35">
      <c r="A299" s="154"/>
      <c r="B299" s="37"/>
      <c r="C299" s="156"/>
      <c r="D299" s="37" t="s">
        <v>579</v>
      </c>
      <c r="E299" s="38" t="str">
        <f>+VLOOKUP(D299,Insumos_MAT!$B$8:$G$16489,2,0)</f>
        <v>UNID.</v>
      </c>
      <c r="F299" s="184">
        <f>+VLOOKUP(D299,Insumos_MAT!$B$8:$G$16489,6,0)</f>
        <v>1.77</v>
      </c>
      <c r="G299" s="141">
        <v>6.4000000000000001E-2</v>
      </c>
      <c r="H299" s="184">
        <f t="shared" si="4"/>
        <v>0.11328000000000001</v>
      </c>
      <c r="I299" s="37"/>
      <c r="J299" s="39"/>
      <c r="K299" s="184"/>
      <c r="L299" s="198"/>
      <c r="M299" s="184"/>
      <c r="N299" s="205"/>
    </row>
    <row r="300" spans="1:15" s="24" customFormat="1" ht="67.5" x14ac:dyDescent="0.35">
      <c r="A300" s="154"/>
      <c r="B300" s="37"/>
      <c r="C300" s="156"/>
      <c r="D300" s="37" t="s">
        <v>885</v>
      </c>
      <c r="E300" s="38" t="str">
        <f>+VLOOKUP(D300,Insumos_MAT!$B$8:$G$16489,2,0)</f>
        <v>UNID.</v>
      </c>
      <c r="F300" s="184">
        <f>+VLOOKUP(D300,Insumos_MAT!$B$8:$G$16489,6,0)</f>
        <v>121.16</v>
      </c>
      <c r="G300" s="141">
        <v>1</v>
      </c>
      <c r="H300" s="184">
        <f t="shared" si="4"/>
        <v>121.16</v>
      </c>
      <c r="I300" s="37"/>
      <c r="J300" s="39"/>
      <c r="K300" s="184"/>
      <c r="L300" s="198"/>
      <c r="M300" s="184"/>
      <c r="N300" s="205"/>
    </row>
    <row r="301" spans="1:15" s="24" customFormat="1" x14ac:dyDescent="0.35">
      <c r="A301" s="154"/>
      <c r="B301" s="37"/>
      <c r="C301" s="156"/>
      <c r="D301" s="37"/>
      <c r="E301" s="38"/>
      <c r="F301" s="184"/>
      <c r="G301" s="141"/>
      <c r="H301" s="184"/>
      <c r="I301" s="37"/>
      <c r="J301" s="39"/>
      <c r="K301" s="184"/>
      <c r="L301" s="198"/>
      <c r="M301" s="184"/>
      <c r="N301" s="205"/>
    </row>
    <row r="302" spans="1:15" ht="31.5" customHeight="1" x14ac:dyDescent="0.35">
      <c r="A302" s="516" t="str">
        <f>PO_CPE!A183</f>
        <v>2.10.2.3</v>
      </c>
      <c r="B302" s="539" t="str">
        <f>PO_CPE!D183</f>
        <v>GRELHA QUADRADA CROMADA 150MM</v>
      </c>
      <c r="C302" s="384" t="str">
        <f>PO_CPE!E183</f>
        <v>UNID.</v>
      </c>
      <c r="D302" s="151"/>
      <c r="E302" s="69"/>
      <c r="F302" s="185"/>
      <c r="G302" s="140"/>
      <c r="H302" s="187">
        <f>+SUM(H303:H304)</f>
        <v>35.47</v>
      </c>
      <c r="I302" s="182"/>
      <c r="J302" s="183"/>
      <c r="K302" s="187"/>
      <c r="L302" s="197"/>
      <c r="M302" s="187">
        <f>SUM(M303:M304)</f>
        <v>1.8</v>
      </c>
      <c r="N302" s="202">
        <f>+IF(A302&gt;0,SUM(H302:M302),0)</f>
        <v>37.269999999999996</v>
      </c>
      <c r="O302" s="251"/>
    </row>
    <row r="303" spans="1:15" s="14" customFormat="1" ht="54" x14ac:dyDescent="0.3">
      <c r="A303" s="154"/>
      <c r="B303" s="153"/>
      <c r="C303" s="155"/>
      <c r="D303" s="37" t="s">
        <v>698</v>
      </c>
      <c r="E303" s="38" t="str">
        <f>+VLOOKUP(D303,Insumos_MAT!$B$8:$G$16489,2,0)</f>
        <v>UNID.</v>
      </c>
      <c r="F303" s="184">
        <f>+VLOOKUP(D303,Insumos_MAT!$B$8:$G$16489,6,0)</f>
        <v>35.47</v>
      </c>
      <c r="G303" s="141">
        <v>1</v>
      </c>
      <c r="H303" s="184">
        <f>F303*G303</f>
        <v>35.47</v>
      </c>
      <c r="I303" s="37" t="s">
        <v>150</v>
      </c>
      <c r="J303" s="39" t="str">
        <f>+VLOOKUP(I303,Insumos_MO!$B$8:$F$3741,2,0)</f>
        <v>H</v>
      </c>
      <c r="K303" s="184">
        <f>+VLOOKUP(I303,Insumos_MO!$B$8:$G$18183,5,0)</f>
        <v>20.39</v>
      </c>
      <c r="L303" s="198">
        <v>0.05</v>
      </c>
      <c r="M303" s="184">
        <f>+ROUND(K303*L303,2)</f>
        <v>1.02</v>
      </c>
      <c r="N303" s="203"/>
    </row>
    <row r="304" spans="1:15" s="24" customFormat="1" ht="67.5" x14ac:dyDescent="0.35">
      <c r="A304" s="154"/>
      <c r="B304" s="37"/>
      <c r="C304" s="156"/>
      <c r="D304" s="37"/>
      <c r="E304" s="38"/>
      <c r="F304" s="184"/>
      <c r="G304" s="141"/>
      <c r="H304" s="184"/>
      <c r="I304" s="37" t="s">
        <v>577</v>
      </c>
      <c r="J304" s="39" t="str">
        <f>+VLOOKUP(I304,Insumos_MO!$B$8:$F$3741,2,0)</f>
        <v>H</v>
      </c>
      <c r="K304" s="184">
        <f>+VLOOKUP(I304,Insumos_MO!$B$8:$G$18183,5,0)</f>
        <v>15.58</v>
      </c>
      <c r="L304" s="198">
        <v>0.05</v>
      </c>
      <c r="M304" s="184">
        <f>+ROUND(K304*L304,2)</f>
        <v>0.78</v>
      </c>
      <c r="N304" s="205"/>
    </row>
    <row r="305" spans="1:15" s="24" customFormat="1" x14ac:dyDescent="0.35">
      <c r="A305" s="154"/>
      <c r="B305" s="37"/>
      <c r="C305" s="156"/>
      <c r="D305" s="37"/>
      <c r="E305" s="38"/>
      <c r="F305" s="184"/>
      <c r="G305" s="141"/>
      <c r="H305" s="184"/>
      <c r="I305" s="37"/>
      <c r="J305" s="39"/>
      <c r="K305" s="184"/>
      <c r="L305" s="198"/>
      <c r="M305" s="184"/>
      <c r="N305" s="205"/>
    </row>
    <row r="306" spans="1:15" ht="31.5" customHeight="1" x14ac:dyDescent="0.35">
      <c r="A306" s="516" t="str">
        <f>PO_CPE!A184</f>
        <v>2.10.2.4</v>
      </c>
      <c r="B306" s="539" t="str">
        <f>PO_CPE!D184</f>
        <v>JOELHO 45º SÉRIE NORMAL 40MM COM BOLSAS LISAS</v>
      </c>
      <c r="C306" s="384" t="str">
        <f>PO_CPE!E184</f>
        <v>UNID.</v>
      </c>
      <c r="D306" s="151"/>
      <c r="E306" s="69"/>
      <c r="F306" s="185"/>
      <c r="G306" s="140"/>
      <c r="H306" s="187">
        <f>+SUM(H307:H308)</f>
        <v>4.83</v>
      </c>
      <c r="I306" s="182"/>
      <c r="J306" s="183"/>
      <c r="K306" s="187"/>
      <c r="L306" s="197"/>
      <c r="M306" s="187">
        <f>SUM(M307:M308)</f>
        <v>1.8</v>
      </c>
      <c r="N306" s="202">
        <f>+IF(A306&gt;0,SUM(H306:M306),0)</f>
        <v>6.63</v>
      </c>
      <c r="O306" s="251"/>
    </row>
    <row r="307" spans="1:15" s="14" customFormat="1" ht="67.5" x14ac:dyDescent="0.3">
      <c r="A307" s="154"/>
      <c r="B307" s="153"/>
      <c r="C307" s="155"/>
      <c r="D307" s="37" t="s">
        <v>700</v>
      </c>
      <c r="E307" s="38" t="str">
        <f>+VLOOKUP(D307,Insumos_MAT!$B$8:$G$16489,2,0)</f>
        <v>UNID.</v>
      </c>
      <c r="F307" s="184">
        <f>+VLOOKUP(D307,Insumos_MAT!$B$8:$G$16489,6,0)</f>
        <v>4.83</v>
      </c>
      <c r="G307" s="141">
        <v>1</v>
      </c>
      <c r="H307" s="184">
        <f>F307*G307</f>
        <v>4.83</v>
      </c>
      <c r="I307" s="37" t="s">
        <v>150</v>
      </c>
      <c r="J307" s="39" t="str">
        <f>+VLOOKUP(I307,Insumos_MO!$B$8:$F$3741,2,0)</f>
        <v>H</v>
      </c>
      <c r="K307" s="184">
        <f>+VLOOKUP(I307,Insumos_MO!$B$8:$G$18183,5,0)</f>
        <v>20.39</v>
      </c>
      <c r="L307" s="198">
        <v>0.05</v>
      </c>
      <c r="M307" s="184">
        <f>+ROUND(K307*L307,2)</f>
        <v>1.02</v>
      </c>
      <c r="N307" s="203"/>
    </row>
    <row r="308" spans="1:15" s="24" customFormat="1" ht="67.5" x14ac:dyDescent="0.35">
      <c r="A308" s="154"/>
      <c r="B308" s="37"/>
      <c r="C308" s="156"/>
      <c r="D308" s="37"/>
      <c r="E308" s="38"/>
      <c r="F308" s="184"/>
      <c r="G308" s="141"/>
      <c r="H308" s="184"/>
      <c r="I308" s="37" t="s">
        <v>577</v>
      </c>
      <c r="J308" s="39" t="str">
        <f>+VLOOKUP(I308,Insumos_MO!$B$8:$F$3741,2,0)</f>
        <v>H</v>
      </c>
      <c r="K308" s="184">
        <f>+VLOOKUP(I308,Insumos_MO!$B$8:$G$18183,5,0)</f>
        <v>15.58</v>
      </c>
      <c r="L308" s="198">
        <v>0.05</v>
      </c>
      <c r="M308" s="184">
        <f>+ROUND(K308*L308,2)</f>
        <v>0.78</v>
      </c>
      <c r="N308" s="205"/>
    </row>
    <row r="309" spans="1:15" s="24" customFormat="1" x14ac:dyDescent="0.35">
      <c r="A309" s="154"/>
      <c r="B309" s="37"/>
      <c r="C309" s="156"/>
      <c r="D309" s="37"/>
      <c r="E309" s="38"/>
      <c r="F309" s="184"/>
      <c r="G309" s="141"/>
      <c r="H309" s="184"/>
      <c r="I309" s="37"/>
      <c r="J309" s="39"/>
      <c r="K309" s="184"/>
      <c r="L309" s="198"/>
      <c r="M309" s="184"/>
      <c r="N309" s="205"/>
    </row>
    <row r="310" spans="1:15" ht="27.75" x14ac:dyDescent="0.35">
      <c r="A310" s="516" t="str">
        <f>PO_CPE!A186</f>
        <v>2.10.2.6</v>
      </c>
      <c r="B310" s="539" t="str">
        <f>PO_CPE!D186</f>
        <v>JOELHO 90º SÉRIE NORMAL 40MM COM BOLSAS LISAS</v>
      </c>
      <c r="C310" s="384" t="str">
        <f>PO_CPE!E186</f>
        <v>UNID.</v>
      </c>
      <c r="D310" s="151"/>
      <c r="E310" s="69"/>
      <c r="F310" s="185"/>
      <c r="G310" s="140"/>
      <c r="H310" s="187">
        <f>+SUM(H311:H313)</f>
        <v>4.83</v>
      </c>
      <c r="I310" s="182"/>
      <c r="J310" s="183"/>
      <c r="K310" s="187"/>
      <c r="L310" s="197"/>
      <c r="M310" s="187">
        <f>SUM(M311:M312)</f>
        <v>2.7</v>
      </c>
      <c r="N310" s="202">
        <f>+IF(A310&gt;0,SUM(H310:M310),0)</f>
        <v>7.53</v>
      </c>
      <c r="O310" s="251"/>
    </row>
    <row r="311" spans="1:15" s="14" customFormat="1" ht="67.5" x14ac:dyDescent="0.3">
      <c r="A311" s="154"/>
      <c r="B311" s="153"/>
      <c r="C311" s="155"/>
      <c r="D311" s="37" t="s">
        <v>700</v>
      </c>
      <c r="E311" s="38" t="str">
        <f>+VLOOKUP(D311,Insumos_MAT!$B$8:$G$16489,2,0)</f>
        <v>UNID.</v>
      </c>
      <c r="F311" s="184">
        <f>+VLOOKUP(D311,Insumos_MAT!$B$8:$G$16489,6,0)</f>
        <v>4.83</v>
      </c>
      <c r="G311" s="141">
        <v>1</v>
      </c>
      <c r="H311" s="184">
        <f>F311*G311</f>
        <v>4.83</v>
      </c>
      <c r="I311" s="37" t="s">
        <v>150</v>
      </c>
      <c r="J311" s="39" t="str">
        <f>+VLOOKUP(I311,Insumos_MO!$B$8:$F$3741,2,0)</f>
        <v>H</v>
      </c>
      <c r="K311" s="184">
        <f>+VLOOKUP(I311,Insumos_MO!$B$8:$G$18183,5,0)</f>
        <v>20.39</v>
      </c>
      <c r="L311" s="198">
        <v>7.4999999999999997E-2</v>
      </c>
      <c r="M311" s="184">
        <f>+ROUND(K311*L311,2)</f>
        <v>1.53</v>
      </c>
      <c r="N311" s="203"/>
    </row>
    <row r="312" spans="1:15" s="24" customFormat="1" ht="67.5" x14ac:dyDescent="0.35">
      <c r="A312" s="154"/>
      <c r="B312" s="37"/>
      <c r="C312" s="156"/>
      <c r="D312" s="37"/>
      <c r="E312" s="38"/>
      <c r="F312" s="184"/>
      <c r="G312" s="141"/>
      <c r="H312" s="184"/>
      <c r="I312" s="37" t="s">
        <v>577</v>
      </c>
      <c r="J312" s="39" t="str">
        <f>+VLOOKUP(I312,Insumos_MO!$B$8:$F$3741,2,0)</f>
        <v>H</v>
      </c>
      <c r="K312" s="184">
        <f>+VLOOKUP(I312,Insumos_MO!$B$8:$G$18183,5,0)</f>
        <v>15.58</v>
      </c>
      <c r="L312" s="198">
        <v>7.4999999999999997E-2</v>
      </c>
      <c r="M312" s="184">
        <f>+ROUND(K312*L312,2)</f>
        <v>1.17</v>
      </c>
      <c r="N312" s="205"/>
    </row>
    <row r="313" spans="1:15" s="24" customFormat="1" x14ac:dyDescent="0.35">
      <c r="A313" s="154"/>
      <c r="B313" s="37"/>
      <c r="C313" s="156"/>
      <c r="D313" s="37"/>
      <c r="E313" s="38"/>
      <c r="F313" s="184"/>
      <c r="G313" s="141"/>
      <c r="H313" s="184"/>
      <c r="I313" s="37"/>
      <c r="J313" s="39"/>
      <c r="K313" s="184"/>
      <c r="L313" s="198"/>
      <c r="M313" s="184"/>
      <c r="N313" s="205"/>
    </row>
    <row r="314" spans="1:15" ht="27.75" x14ac:dyDescent="0.35">
      <c r="A314" s="516" t="str">
        <f>PO_CPE!A189</f>
        <v>2.10.2.9</v>
      </c>
      <c r="B314" s="539" t="str">
        <f>PO_CPE!D189</f>
        <v>JUNÇÃO SIMPLES SÉRIE NORMAL 100X50MM</v>
      </c>
      <c r="C314" s="384" t="str">
        <f>PO_CPE!E189</f>
        <v>UNID.</v>
      </c>
      <c r="D314" s="151"/>
      <c r="E314" s="69"/>
      <c r="F314" s="185"/>
      <c r="G314" s="140"/>
      <c r="H314" s="187">
        <f>+SUM(H315:H318)</f>
        <v>27.649560000000001</v>
      </c>
      <c r="I314" s="182"/>
      <c r="J314" s="183"/>
      <c r="K314" s="187"/>
      <c r="L314" s="197"/>
      <c r="M314" s="187">
        <f>SUM(M315:M316)</f>
        <v>6.65</v>
      </c>
      <c r="N314" s="202">
        <f>+IF(A314&gt;0,SUM(H314:M314),0)</f>
        <v>34.29956</v>
      </c>
      <c r="O314" s="251"/>
    </row>
    <row r="315" spans="1:15" s="14" customFormat="1" ht="54" x14ac:dyDescent="0.3">
      <c r="A315" s="154"/>
      <c r="B315" s="153"/>
      <c r="C315" s="155"/>
      <c r="D315" s="37" t="s">
        <v>585</v>
      </c>
      <c r="E315" s="38" t="str">
        <f>+VLOOKUP(D315,Insumos_MAT!$B$8:$G$16489,2,0)</f>
        <v>UNID.</v>
      </c>
      <c r="F315" s="184">
        <f>+VLOOKUP(D315,Insumos_MAT!$B$8:$G$16489,6,0)</f>
        <v>19.61</v>
      </c>
      <c r="G315" s="141">
        <v>1</v>
      </c>
      <c r="H315" s="184">
        <f>F315*G315</f>
        <v>19.61</v>
      </c>
      <c r="I315" s="37" t="s">
        <v>150</v>
      </c>
      <c r="J315" s="39" t="str">
        <f>+VLOOKUP(I315,Insumos_MO!$B$8:$F$3741,2,0)</f>
        <v>H</v>
      </c>
      <c r="K315" s="184">
        <f>+VLOOKUP(I315,Insumos_MO!$B$8:$G$18183,5,0)</f>
        <v>20.39</v>
      </c>
      <c r="L315" s="198">
        <v>0.185</v>
      </c>
      <c r="M315" s="184">
        <f>+ROUND(K315*L315,2)</f>
        <v>3.77</v>
      </c>
      <c r="N315" s="203"/>
    </row>
    <row r="316" spans="1:15" s="24" customFormat="1" ht="67.5" x14ac:dyDescent="0.35">
      <c r="A316" s="154"/>
      <c r="B316" s="37"/>
      <c r="C316" s="156"/>
      <c r="D316" s="37" t="s">
        <v>694</v>
      </c>
      <c r="E316" s="38" t="str">
        <f>+VLOOKUP(D316,Insumos_MAT!$B$8:$G$16489,2,0)</f>
        <v>UNID.</v>
      </c>
      <c r="F316" s="184">
        <f>+VLOOKUP(D316,Insumos_MAT!$B$8:$G$16489,6,0)</f>
        <v>3.35</v>
      </c>
      <c r="G316" s="141">
        <v>1</v>
      </c>
      <c r="H316" s="184">
        <f>F316*G316</f>
        <v>3.35</v>
      </c>
      <c r="I316" s="37" t="s">
        <v>577</v>
      </c>
      <c r="J316" s="39" t="str">
        <f>+VLOOKUP(I316,Insumos_MO!$B$8:$F$3741,2,0)</f>
        <v>H</v>
      </c>
      <c r="K316" s="184">
        <f>+VLOOKUP(I316,Insumos_MO!$B$8:$G$18183,5,0)</f>
        <v>15.58</v>
      </c>
      <c r="L316" s="198">
        <v>0.185</v>
      </c>
      <c r="M316" s="184">
        <f>+ROUND(K316*L316,2)</f>
        <v>2.88</v>
      </c>
      <c r="N316" s="205"/>
    </row>
    <row r="317" spans="1:15" s="24" customFormat="1" ht="40.5" x14ac:dyDescent="0.35">
      <c r="A317" s="154"/>
      <c r="B317" s="37"/>
      <c r="C317" s="156"/>
      <c r="D317" s="37" t="s">
        <v>687</v>
      </c>
      <c r="E317" s="38" t="str">
        <f>+VLOOKUP(D317,Insumos_MAT!$B$8:$G$16489,2,0)</f>
        <v>UNID.</v>
      </c>
      <c r="F317" s="184">
        <f>+VLOOKUP(D317,Insumos_MAT!$B$8:$G$16489,6,0)</f>
        <v>1.89</v>
      </c>
      <c r="G317" s="141">
        <v>1</v>
      </c>
      <c r="H317" s="184">
        <f t="shared" ref="H317" si="5">F317*G317</f>
        <v>1.89</v>
      </c>
      <c r="I317" s="37"/>
      <c r="J317" s="39"/>
      <c r="K317" s="184"/>
      <c r="L317" s="198"/>
      <c r="M317" s="184"/>
      <c r="N317" s="205"/>
    </row>
    <row r="318" spans="1:15" s="24" customFormat="1" ht="94.5" x14ac:dyDescent="0.35">
      <c r="A318" s="154"/>
      <c r="B318" s="37"/>
      <c r="C318" s="156"/>
      <c r="D318" s="37" t="s">
        <v>688</v>
      </c>
      <c r="E318" s="38" t="str">
        <f>+VLOOKUP(D318,Insumos_MAT!$B$8:$G$16489,2,0)</f>
        <v>UNID.</v>
      </c>
      <c r="F318" s="184">
        <f>+VLOOKUP(D318,Insumos_MAT!$B$8:$G$16489,6,0)</f>
        <v>30.43</v>
      </c>
      <c r="G318" s="141">
        <v>9.1999999999999998E-2</v>
      </c>
      <c r="H318" s="184">
        <f t="shared" ref="H318" si="6">F318*G318</f>
        <v>2.79956</v>
      </c>
      <c r="I318" s="37"/>
      <c r="J318" s="39"/>
      <c r="K318" s="184"/>
      <c r="L318" s="198"/>
      <c r="M318" s="184"/>
      <c r="N318" s="205"/>
    </row>
    <row r="319" spans="1:15" s="24" customFormat="1" x14ac:dyDescent="0.35">
      <c r="A319" s="154"/>
      <c r="B319" s="37"/>
      <c r="C319" s="156"/>
      <c r="D319" s="37"/>
      <c r="E319" s="38"/>
      <c r="F319" s="184"/>
      <c r="G319" s="141"/>
      <c r="H319" s="184"/>
      <c r="I319" s="37"/>
      <c r="J319" s="39"/>
      <c r="K319" s="184"/>
      <c r="L319" s="198"/>
      <c r="M319" s="184"/>
      <c r="N319" s="205"/>
    </row>
    <row r="320" spans="1:15" ht="27.75" x14ac:dyDescent="0.35">
      <c r="A320" s="516" t="str">
        <f>PO_CPE!A190</f>
        <v>2.10.2.10</v>
      </c>
      <c r="B320" s="539" t="str">
        <f>PO_CPE!D190</f>
        <v>JUNÇÃO SIMPLES SÉRIE NORMAL 75X50MM</v>
      </c>
      <c r="C320" s="384" t="str">
        <f>PO_CPE!E190</f>
        <v>UNID.</v>
      </c>
      <c r="D320" s="151"/>
      <c r="E320" s="69"/>
      <c r="F320" s="185"/>
      <c r="G320" s="140"/>
      <c r="H320" s="187">
        <f>+SUM(H321:H324)</f>
        <v>22.095800000000004</v>
      </c>
      <c r="I320" s="182"/>
      <c r="J320" s="183"/>
      <c r="K320" s="187"/>
      <c r="L320" s="197"/>
      <c r="M320" s="187">
        <f>SUM(M321:M322)</f>
        <v>2.88</v>
      </c>
      <c r="N320" s="202">
        <f>+IF(A320&gt;0,SUM(H320:M320),0)</f>
        <v>24.975800000000003</v>
      </c>
      <c r="O320" s="251"/>
    </row>
    <row r="321" spans="1:15" s="14" customFormat="1" ht="54" x14ac:dyDescent="0.3">
      <c r="A321" s="154"/>
      <c r="B321" s="153"/>
      <c r="C321" s="155"/>
      <c r="D321" s="37" t="s">
        <v>702</v>
      </c>
      <c r="E321" s="38" t="str">
        <f>+VLOOKUP(D321,Insumos_MAT!$B$8:$G$16489,2,0)</f>
        <v>UNID.</v>
      </c>
      <c r="F321" s="184">
        <f>+VLOOKUP(D321,Insumos_MAT!$B$8:$G$16489,6,0)</f>
        <v>15.71</v>
      </c>
      <c r="G321" s="141">
        <v>1</v>
      </c>
      <c r="H321" s="184">
        <f>F321*G321</f>
        <v>15.71</v>
      </c>
      <c r="I321" s="37" t="s">
        <v>150</v>
      </c>
      <c r="J321" s="39" t="str">
        <f>+VLOOKUP(I321,Insumos_MO!$B$8:$F$3741,2,0)</f>
        <v>H</v>
      </c>
      <c r="K321" s="184">
        <f>+VLOOKUP(I321,Insumos_MO!$B$8:$G$18183,5,0)</f>
        <v>20.39</v>
      </c>
      <c r="L321" s="198">
        <v>0.08</v>
      </c>
      <c r="M321" s="184">
        <f>+ROUND(K321*L321,2)</f>
        <v>1.63</v>
      </c>
      <c r="N321" s="203"/>
    </row>
    <row r="322" spans="1:15" s="24" customFormat="1" ht="67.5" x14ac:dyDescent="0.35">
      <c r="A322" s="154"/>
      <c r="B322" s="37"/>
      <c r="C322" s="156"/>
      <c r="D322" s="37" t="s">
        <v>687</v>
      </c>
      <c r="E322" s="38" t="str">
        <f>+VLOOKUP(D322,Insumos_MAT!$B$8:$G$16489,2,0)</f>
        <v>UNID.</v>
      </c>
      <c r="F322" s="184">
        <f>+VLOOKUP(D322,Insumos_MAT!$B$8:$G$16489,6,0)</f>
        <v>1.89</v>
      </c>
      <c r="G322" s="141">
        <v>1</v>
      </c>
      <c r="H322" s="184">
        <f>F322*G322</f>
        <v>1.89</v>
      </c>
      <c r="I322" s="37" t="s">
        <v>577</v>
      </c>
      <c r="J322" s="39" t="str">
        <f>+VLOOKUP(I322,Insumos_MO!$B$8:$F$3741,2,0)</f>
        <v>H</v>
      </c>
      <c r="K322" s="184">
        <f>+VLOOKUP(I322,Insumos_MO!$B$8:$G$18183,5,0)</f>
        <v>15.58</v>
      </c>
      <c r="L322" s="198">
        <v>0.08</v>
      </c>
      <c r="M322" s="184">
        <f>+ROUND(K322*L322,2)</f>
        <v>1.25</v>
      </c>
      <c r="N322" s="205"/>
    </row>
    <row r="323" spans="1:15" s="24" customFormat="1" ht="40.5" x14ac:dyDescent="0.35">
      <c r="A323" s="154"/>
      <c r="B323" s="37"/>
      <c r="C323" s="156"/>
      <c r="D323" s="37" t="s">
        <v>696</v>
      </c>
      <c r="E323" s="38" t="str">
        <f>+VLOOKUP(D323,Insumos_MAT!$B$8:$G$16489,2,0)</f>
        <v>UNID.</v>
      </c>
      <c r="F323" s="184">
        <f>+VLOOKUP(D323,Insumos_MAT!$B$8:$G$16489,6,0)</f>
        <v>2.67</v>
      </c>
      <c r="G323" s="141">
        <v>1</v>
      </c>
      <c r="H323" s="184">
        <f t="shared" ref="H323:H324" si="7">F323*G323</f>
        <v>2.67</v>
      </c>
      <c r="I323" s="37"/>
      <c r="J323" s="39"/>
      <c r="K323" s="184"/>
      <c r="L323" s="198"/>
      <c r="M323" s="184"/>
      <c r="N323" s="205"/>
    </row>
    <row r="324" spans="1:15" s="24" customFormat="1" ht="94.5" x14ac:dyDescent="0.35">
      <c r="A324" s="154"/>
      <c r="B324" s="37"/>
      <c r="C324" s="156"/>
      <c r="D324" s="37" t="s">
        <v>688</v>
      </c>
      <c r="E324" s="38" t="str">
        <f>+VLOOKUP(D324,Insumos_MAT!$B$8:$G$16489,2,0)</f>
        <v>UNID.</v>
      </c>
      <c r="F324" s="184">
        <f>+VLOOKUP(D324,Insumos_MAT!$B$8:$G$16489,6,0)</f>
        <v>30.43</v>
      </c>
      <c r="G324" s="141">
        <v>0.06</v>
      </c>
      <c r="H324" s="184">
        <f t="shared" si="7"/>
        <v>1.8257999999999999</v>
      </c>
      <c r="I324" s="37"/>
      <c r="J324" s="39"/>
      <c r="K324" s="184"/>
      <c r="L324" s="198"/>
      <c r="M324" s="184"/>
      <c r="N324" s="205"/>
    </row>
    <row r="325" spans="1:15" s="24" customFormat="1" x14ac:dyDescent="0.35">
      <c r="A325" s="154"/>
      <c r="B325" s="37"/>
      <c r="C325" s="156"/>
      <c r="D325" s="37"/>
      <c r="E325" s="38"/>
      <c r="F325" s="184"/>
      <c r="G325" s="141"/>
      <c r="H325" s="184"/>
      <c r="I325" s="37"/>
      <c r="J325" s="39"/>
      <c r="K325" s="184"/>
      <c r="L325" s="198"/>
      <c r="M325" s="184"/>
      <c r="N325" s="205"/>
    </row>
    <row r="326" spans="1:15" ht="27.75" x14ac:dyDescent="0.35">
      <c r="A326" s="516" t="str">
        <f>PO_CPE!A191</f>
        <v>2.10.2.11</v>
      </c>
      <c r="B326" s="539" t="str">
        <f>PO_CPE!D191</f>
        <v>PROLONGAMENTO PARA CAIXA SIFONADA 150X150MM</v>
      </c>
      <c r="C326" s="384" t="str">
        <f>PO_CPE!E191</f>
        <v>UNID.</v>
      </c>
      <c r="D326" s="151"/>
      <c r="E326" s="69"/>
      <c r="F326" s="185"/>
      <c r="G326" s="140"/>
      <c r="H326" s="187">
        <f>+SUM(H327:H330)</f>
        <v>10.875705</v>
      </c>
      <c r="I326" s="182"/>
      <c r="J326" s="183"/>
      <c r="K326" s="187"/>
      <c r="L326" s="197"/>
      <c r="M326" s="187">
        <f>SUM(M327:M328)</f>
        <v>2.88</v>
      </c>
      <c r="N326" s="202">
        <f>+IF(A326&gt;0,SUM(H326:M326),0)</f>
        <v>13.755704999999999</v>
      </c>
      <c r="O326" s="251"/>
    </row>
    <row r="327" spans="1:15" s="14" customFormat="1" ht="54" x14ac:dyDescent="0.3">
      <c r="A327" s="154"/>
      <c r="B327" s="153"/>
      <c r="C327" s="155"/>
      <c r="D327" s="37" t="s">
        <v>704</v>
      </c>
      <c r="E327" s="38" t="str">
        <f>+VLOOKUP(D327,Insumos_MAT!$B$8:$G$16489,2,0)</f>
        <v>UNID.</v>
      </c>
      <c r="F327" s="184">
        <f>+VLOOKUP(D327,Insumos_MAT!$B$8:$G$16489,6,0)</f>
        <v>8.5299999999999994</v>
      </c>
      <c r="G327" s="141">
        <v>1</v>
      </c>
      <c r="H327" s="184">
        <f>F327*G327</f>
        <v>8.5299999999999994</v>
      </c>
      <c r="I327" s="37" t="s">
        <v>150</v>
      </c>
      <c r="J327" s="39" t="str">
        <f>+VLOOKUP(I327,Insumos_MO!$B$8:$F$3741,2,0)</f>
        <v>H</v>
      </c>
      <c r="K327" s="184">
        <f>+VLOOKUP(I327,Insumos_MO!$B$8:$G$18183,5,0)</f>
        <v>20.39</v>
      </c>
      <c r="L327" s="198">
        <v>0.08</v>
      </c>
      <c r="M327" s="184">
        <f>+ROUND(K327*L327,2)</f>
        <v>1.63</v>
      </c>
      <c r="N327" s="203"/>
    </row>
    <row r="328" spans="1:15" s="24" customFormat="1" ht="94.5" x14ac:dyDescent="0.35">
      <c r="A328" s="154"/>
      <c r="B328" s="37"/>
      <c r="C328" s="156"/>
      <c r="D328" s="37" t="s">
        <v>688</v>
      </c>
      <c r="E328" s="38" t="str">
        <f>+VLOOKUP(D328,Insumos_MAT!$B$8:$G$16489,2,0)</f>
        <v>UNID.</v>
      </c>
      <c r="F328" s="184">
        <f>+VLOOKUP(D328,Insumos_MAT!$B$8:$G$16489,6,0)</f>
        <v>30.43</v>
      </c>
      <c r="G328" s="141">
        <v>0.02</v>
      </c>
      <c r="H328" s="184">
        <f t="shared" ref="H328:H330" si="8">F328*G328</f>
        <v>0.60860000000000003</v>
      </c>
      <c r="I328" s="37" t="s">
        <v>577</v>
      </c>
      <c r="J328" s="39" t="str">
        <f>+VLOOKUP(I328,Insumos_MO!$B$8:$F$3741,2,0)</f>
        <v>H</v>
      </c>
      <c r="K328" s="184">
        <f>+VLOOKUP(I328,Insumos_MO!$B$8:$G$18183,5,0)</f>
        <v>15.58</v>
      </c>
      <c r="L328" s="198">
        <v>0.08</v>
      </c>
      <c r="M328" s="184">
        <f>+ROUND(K328*L328,2)</f>
        <v>1.25</v>
      </c>
      <c r="N328" s="205"/>
    </row>
    <row r="329" spans="1:15" s="24" customFormat="1" ht="40.5" x14ac:dyDescent="0.35">
      <c r="A329" s="154"/>
      <c r="B329" s="37"/>
      <c r="C329" s="156"/>
      <c r="D329" s="37" t="s">
        <v>581</v>
      </c>
      <c r="E329" s="38" t="str">
        <f>+VLOOKUP(D329,Insumos_MAT!$B$8:$G$16489,2,0)</f>
        <v>UNID.</v>
      </c>
      <c r="F329" s="184">
        <f>+VLOOKUP(D329,Insumos_MAT!$B$8:$G$16489,6,0)</f>
        <v>72.17</v>
      </c>
      <c r="G329" s="141">
        <v>2.2499999999999999E-2</v>
      </c>
      <c r="H329" s="184">
        <f t="shared" si="8"/>
        <v>1.6238250000000001</v>
      </c>
      <c r="I329" s="37"/>
      <c r="J329" s="39"/>
      <c r="K329" s="184"/>
      <c r="L329" s="198"/>
      <c r="M329" s="184"/>
      <c r="N329" s="205"/>
    </row>
    <row r="330" spans="1:15" s="24" customFormat="1" ht="27" x14ac:dyDescent="0.35">
      <c r="A330" s="154"/>
      <c r="B330" s="37"/>
      <c r="C330" s="156"/>
      <c r="D330" s="37" t="s">
        <v>579</v>
      </c>
      <c r="E330" s="38" t="str">
        <f>+VLOOKUP(D330,Insumos_MAT!$B$8:$G$16489,2,0)</f>
        <v>UNID.</v>
      </c>
      <c r="F330" s="184">
        <f>+VLOOKUP(D330,Insumos_MAT!$B$8:$G$16489,6,0)</f>
        <v>1.77</v>
      </c>
      <c r="G330" s="141">
        <v>6.4000000000000001E-2</v>
      </c>
      <c r="H330" s="184">
        <f t="shared" si="8"/>
        <v>0.11328000000000001</v>
      </c>
      <c r="I330" s="37"/>
      <c r="J330" s="39"/>
      <c r="K330" s="184"/>
      <c r="L330" s="198"/>
      <c r="M330" s="184"/>
      <c r="N330" s="205"/>
    </row>
    <row r="331" spans="1:15" s="24" customFormat="1" x14ac:dyDescent="0.35">
      <c r="A331" s="154"/>
      <c r="B331" s="37"/>
      <c r="C331" s="156"/>
      <c r="D331" s="37"/>
      <c r="E331" s="38"/>
      <c r="F331" s="184"/>
      <c r="G331" s="141"/>
      <c r="H331" s="184"/>
      <c r="I331" s="37"/>
      <c r="J331" s="39"/>
      <c r="K331" s="184"/>
      <c r="L331" s="198"/>
      <c r="M331" s="184"/>
      <c r="N331" s="205"/>
    </row>
    <row r="332" spans="1:15" ht="27.75" x14ac:dyDescent="0.35">
      <c r="A332" s="516" t="str">
        <f>PO_CPE!A192</f>
        <v>2.10.2.12</v>
      </c>
      <c r="B332" s="539" t="str">
        <f>PO_CPE!D192</f>
        <v>PROLONGAMENTO PARA CAIXA SIFONADA 250X200MM</v>
      </c>
      <c r="C332" s="384" t="str">
        <f>PO_CPE!E192</f>
        <v>UNID.</v>
      </c>
      <c r="D332" s="151"/>
      <c r="E332" s="69"/>
      <c r="F332" s="185"/>
      <c r="G332" s="140"/>
      <c r="H332" s="187">
        <f>+SUM(H333:H336)</f>
        <v>52.245705000000001</v>
      </c>
      <c r="I332" s="182"/>
      <c r="J332" s="183"/>
      <c r="K332" s="187"/>
      <c r="L332" s="197"/>
      <c r="M332" s="187">
        <f>SUM(M333:M334)</f>
        <v>5.4</v>
      </c>
      <c r="N332" s="202">
        <f>+IF(A332&gt;0,SUM(H332:M332),0)</f>
        <v>57.645705</v>
      </c>
      <c r="O332" s="251"/>
    </row>
    <row r="333" spans="1:15" s="14" customFormat="1" ht="54" x14ac:dyDescent="0.3">
      <c r="A333" s="154"/>
      <c r="B333" s="153"/>
      <c r="C333" s="155"/>
      <c r="D333" s="37" t="s">
        <v>887</v>
      </c>
      <c r="E333" s="38" t="str">
        <f>+VLOOKUP(D333,Insumos_MAT!$B$8:$G$16489,2,0)</f>
        <v>UNID.</v>
      </c>
      <c r="F333" s="184">
        <f>+VLOOKUP(D333,Insumos_MAT!$B$8:$G$16489,6,0)</f>
        <v>49.9</v>
      </c>
      <c r="G333" s="141">
        <v>1</v>
      </c>
      <c r="H333" s="184">
        <f>F333*G333</f>
        <v>49.9</v>
      </c>
      <c r="I333" s="37" t="s">
        <v>150</v>
      </c>
      <c r="J333" s="39" t="str">
        <f>+VLOOKUP(I333,Insumos_MO!$B$8:$F$3741,2,0)</f>
        <v>H</v>
      </c>
      <c r="K333" s="184">
        <f>+VLOOKUP(I333,Insumos_MO!$B$8:$G$18183,5,0)</f>
        <v>20.39</v>
      </c>
      <c r="L333" s="198">
        <v>0.15</v>
      </c>
      <c r="M333" s="184">
        <f>+ROUND(K333*L333,2)</f>
        <v>3.06</v>
      </c>
      <c r="N333" s="203"/>
    </row>
    <row r="334" spans="1:15" s="24" customFormat="1" ht="94.5" x14ac:dyDescent="0.35">
      <c r="A334" s="154"/>
      <c r="B334" s="37"/>
      <c r="C334" s="156"/>
      <c r="D334" s="37" t="s">
        <v>688</v>
      </c>
      <c r="E334" s="38" t="str">
        <f>+VLOOKUP(D334,Insumos_MAT!$B$8:$G$16489,2,0)</f>
        <v>UNID.</v>
      </c>
      <c r="F334" s="184">
        <f>+VLOOKUP(D334,Insumos_MAT!$B$8:$G$16489,6,0)</f>
        <v>30.43</v>
      </c>
      <c r="G334" s="141">
        <v>0.02</v>
      </c>
      <c r="H334" s="184">
        <f t="shared" ref="H334:H336" si="9">F334*G334</f>
        <v>0.60860000000000003</v>
      </c>
      <c r="I334" s="37" t="s">
        <v>577</v>
      </c>
      <c r="J334" s="39" t="str">
        <f>+VLOOKUP(I334,Insumos_MO!$B$8:$F$3741,2,0)</f>
        <v>H</v>
      </c>
      <c r="K334" s="184">
        <f>+VLOOKUP(I334,Insumos_MO!$B$8:$G$18183,5,0)</f>
        <v>15.58</v>
      </c>
      <c r="L334" s="198">
        <v>0.15</v>
      </c>
      <c r="M334" s="184">
        <f>+ROUND(K334*L334,2)</f>
        <v>2.34</v>
      </c>
      <c r="N334" s="205"/>
    </row>
    <row r="335" spans="1:15" s="24" customFormat="1" ht="40.5" x14ac:dyDescent="0.35">
      <c r="A335" s="154"/>
      <c r="B335" s="37"/>
      <c r="C335" s="156"/>
      <c r="D335" s="37" t="s">
        <v>581</v>
      </c>
      <c r="E335" s="38" t="str">
        <f>+VLOOKUP(D335,Insumos_MAT!$B$8:$G$16489,2,0)</f>
        <v>UNID.</v>
      </c>
      <c r="F335" s="184">
        <f>+VLOOKUP(D335,Insumos_MAT!$B$8:$G$16489,6,0)</f>
        <v>72.17</v>
      </c>
      <c r="G335" s="141">
        <v>2.2499999999999999E-2</v>
      </c>
      <c r="H335" s="184">
        <f t="shared" si="9"/>
        <v>1.6238250000000001</v>
      </c>
      <c r="I335" s="37"/>
      <c r="J335" s="39"/>
      <c r="K335" s="184"/>
      <c r="L335" s="198"/>
      <c r="M335" s="184"/>
      <c r="N335" s="205"/>
    </row>
    <row r="336" spans="1:15" s="24" customFormat="1" ht="27" x14ac:dyDescent="0.35">
      <c r="A336" s="154"/>
      <c r="B336" s="37"/>
      <c r="C336" s="156"/>
      <c r="D336" s="37" t="s">
        <v>579</v>
      </c>
      <c r="E336" s="38" t="str">
        <f>+VLOOKUP(D336,Insumos_MAT!$B$8:$G$16489,2,0)</f>
        <v>UNID.</v>
      </c>
      <c r="F336" s="184">
        <f>+VLOOKUP(D336,Insumos_MAT!$B$8:$G$16489,6,0)</f>
        <v>1.77</v>
      </c>
      <c r="G336" s="141">
        <v>6.4000000000000001E-2</v>
      </c>
      <c r="H336" s="184">
        <f t="shared" si="9"/>
        <v>0.11328000000000001</v>
      </c>
      <c r="I336" s="37"/>
      <c r="J336" s="39"/>
      <c r="K336" s="184"/>
      <c r="L336" s="198"/>
      <c r="M336" s="184"/>
      <c r="N336" s="205"/>
    </row>
    <row r="337" spans="1:15" s="24" customFormat="1" x14ac:dyDescent="0.35">
      <c r="A337" s="154"/>
      <c r="B337" s="37"/>
      <c r="C337" s="156"/>
      <c r="D337" s="37"/>
      <c r="E337" s="38"/>
      <c r="F337" s="184"/>
      <c r="G337" s="141"/>
      <c r="H337" s="184"/>
      <c r="I337" s="37"/>
      <c r="J337" s="39"/>
      <c r="K337" s="184"/>
      <c r="L337" s="198"/>
      <c r="M337" s="184"/>
      <c r="N337" s="205"/>
    </row>
    <row r="338" spans="1:15" ht="27.75" x14ac:dyDescent="0.35">
      <c r="A338" s="516" t="str">
        <f>PO_CPE!A194</f>
        <v>2.10.2.14</v>
      </c>
      <c r="B338" s="539" t="str">
        <f>PO_CPE!D194</f>
        <v>REDUÇÃO EXCÊNTRICA SÉRIE NORMAL 75X50MM</v>
      </c>
      <c r="C338" s="384" t="str">
        <f>PO_CPE!E194</f>
        <v>UNID.</v>
      </c>
      <c r="D338" s="151"/>
      <c r="E338" s="69"/>
      <c r="F338" s="185"/>
      <c r="G338" s="140"/>
      <c r="H338" s="187">
        <f>+SUM(H339:H341)</f>
        <v>11.152900000000001</v>
      </c>
      <c r="I338" s="182"/>
      <c r="J338" s="183"/>
      <c r="K338" s="187"/>
      <c r="L338" s="197"/>
      <c r="M338" s="187">
        <f>SUM(M339:M340)</f>
        <v>2.52</v>
      </c>
      <c r="N338" s="202">
        <f>+IF(A338&gt;0,SUM(H338:M338),0)</f>
        <v>13.6729</v>
      </c>
      <c r="O338" s="251"/>
    </row>
    <row r="339" spans="1:15" s="14" customFormat="1" ht="54" x14ac:dyDescent="0.3">
      <c r="A339" s="154"/>
      <c r="B339" s="153"/>
      <c r="C339" s="155"/>
      <c r="D339" s="37" t="s">
        <v>706</v>
      </c>
      <c r="E339" s="38" t="str">
        <f>+VLOOKUP(D339,Insumos_MAT!$B$8:$G$16489,2,0)</f>
        <v>UNID.</v>
      </c>
      <c r="F339" s="184">
        <f>+VLOOKUP(D339,Insumos_MAT!$B$8:$G$16489,6,0)</f>
        <v>7.57</v>
      </c>
      <c r="G339" s="141">
        <v>1</v>
      </c>
      <c r="H339" s="184">
        <f>F339*G339</f>
        <v>7.57</v>
      </c>
      <c r="I339" s="37" t="s">
        <v>150</v>
      </c>
      <c r="J339" s="39" t="str">
        <f>+VLOOKUP(I339,Insumos_MO!$B$8:$F$3741,2,0)</f>
        <v>H</v>
      </c>
      <c r="K339" s="184">
        <f>+VLOOKUP(I339,Insumos_MO!$B$8:$G$18183,5,0)</f>
        <v>20.39</v>
      </c>
      <c r="L339" s="198">
        <v>7.0000000000000007E-2</v>
      </c>
      <c r="M339" s="184">
        <f>+ROUND(K339*L339,2)</f>
        <v>1.43</v>
      </c>
      <c r="N339" s="203"/>
    </row>
    <row r="340" spans="1:15" s="24" customFormat="1" ht="94.5" x14ac:dyDescent="0.35">
      <c r="A340" s="154"/>
      <c r="B340" s="37"/>
      <c r="C340" s="156"/>
      <c r="D340" s="37" t="s">
        <v>688</v>
      </c>
      <c r="E340" s="38" t="str">
        <f>+VLOOKUP(D340,Insumos_MAT!$B$8:$G$16489,2,0)</f>
        <v>UNID.</v>
      </c>
      <c r="F340" s="184">
        <f>+VLOOKUP(D340,Insumos_MAT!$B$8:$G$16489,6,0)</f>
        <v>30.43</v>
      </c>
      <c r="G340" s="141">
        <v>0.03</v>
      </c>
      <c r="H340" s="184">
        <f t="shared" ref="H340:H341" si="10">F340*G340</f>
        <v>0.91289999999999993</v>
      </c>
      <c r="I340" s="37" t="s">
        <v>577</v>
      </c>
      <c r="J340" s="39" t="str">
        <f>+VLOOKUP(I340,Insumos_MO!$B$8:$F$3741,2,0)</f>
        <v>H</v>
      </c>
      <c r="K340" s="184">
        <f>+VLOOKUP(I340,Insumos_MO!$B$8:$G$18183,5,0)</f>
        <v>15.58</v>
      </c>
      <c r="L340" s="198">
        <v>7.0000000000000007E-2</v>
      </c>
      <c r="M340" s="184">
        <f>+ROUND(K340*L340,2)</f>
        <v>1.0900000000000001</v>
      </c>
      <c r="N340" s="205"/>
    </row>
    <row r="341" spans="1:15" s="24" customFormat="1" ht="40.5" x14ac:dyDescent="0.35">
      <c r="A341" s="154"/>
      <c r="B341" s="37"/>
      <c r="C341" s="156"/>
      <c r="D341" s="37" t="s">
        <v>696</v>
      </c>
      <c r="E341" s="38" t="str">
        <f>+VLOOKUP(D341,Insumos_MAT!$B$8:$G$16489,2,0)</f>
        <v>UNID.</v>
      </c>
      <c r="F341" s="184">
        <f>+VLOOKUP(D341,Insumos_MAT!$B$8:$G$16489,6,0)</f>
        <v>2.67</v>
      </c>
      <c r="G341" s="141">
        <v>1</v>
      </c>
      <c r="H341" s="184">
        <f t="shared" si="10"/>
        <v>2.67</v>
      </c>
      <c r="I341" s="37"/>
      <c r="J341" s="39"/>
      <c r="K341" s="184"/>
      <c r="L341" s="198"/>
      <c r="M341" s="184"/>
      <c r="N341" s="205"/>
    </row>
    <row r="342" spans="1:15" s="24" customFormat="1" x14ac:dyDescent="0.35">
      <c r="A342" s="154"/>
      <c r="B342" s="37"/>
      <c r="C342" s="156"/>
      <c r="D342" s="37"/>
      <c r="E342" s="38"/>
      <c r="F342" s="184"/>
      <c r="G342" s="141"/>
      <c r="H342" s="184"/>
      <c r="I342" s="37"/>
      <c r="J342" s="39"/>
      <c r="K342" s="184"/>
      <c r="L342" s="198"/>
      <c r="M342" s="184"/>
      <c r="N342" s="205"/>
    </row>
    <row r="343" spans="1:15" ht="27.75" x14ac:dyDescent="0.35">
      <c r="A343" s="516" t="str">
        <f>PO_CPE!A195</f>
        <v>2.10.2.15</v>
      </c>
      <c r="B343" s="539" t="str">
        <f>PO_CPE!D195</f>
        <v>TAMPA CEGA REDONDA DE ALUMÍNIO 250MM</v>
      </c>
      <c r="C343" s="384" t="str">
        <f>PO_CPE!E195</f>
        <v>UNID.</v>
      </c>
      <c r="D343" s="151"/>
      <c r="E343" s="69"/>
      <c r="F343" s="185"/>
      <c r="G343" s="140"/>
      <c r="H343" s="187">
        <f>+SUM(H344:H344)</f>
        <v>97.03</v>
      </c>
      <c r="I343" s="182"/>
      <c r="J343" s="183"/>
      <c r="K343" s="187"/>
      <c r="L343" s="197"/>
      <c r="M343" s="187">
        <f>SUM(M344:M344)</f>
        <v>1.56</v>
      </c>
      <c r="N343" s="202">
        <f>+IF(A343&gt;0,SUM(H343:M343),0)</f>
        <v>98.59</v>
      </c>
      <c r="O343" s="251"/>
    </row>
    <row r="344" spans="1:15" s="14" customFormat="1" ht="67.5" x14ac:dyDescent="0.3">
      <c r="A344" s="154"/>
      <c r="B344" s="153"/>
      <c r="C344" s="155"/>
      <c r="D344" s="37" t="s">
        <v>824</v>
      </c>
      <c r="E344" s="38" t="str">
        <f>+VLOOKUP(D344,Insumos_MAT!$B$8:$G$16489,2,0)</f>
        <v>UNID.</v>
      </c>
      <c r="F344" s="184">
        <f>+VLOOKUP(D344,Insumos_MAT!$B$8:$G$16489,6,0)</f>
        <v>97.03</v>
      </c>
      <c r="G344" s="141">
        <v>1</v>
      </c>
      <c r="H344" s="184">
        <f>F344*G344</f>
        <v>97.03</v>
      </c>
      <c r="I344" s="37" t="s">
        <v>577</v>
      </c>
      <c r="J344" s="39" t="str">
        <f>+VLOOKUP(I344,Insumos_MO!$B$8:$F$3741,2,0)</f>
        <v>H</v>
      </c>
      <c r="K344" s="184">
        <f>+VLOOKUP(I344,Insumos_MO!$B$8:$G$18183,5,0)</f>
        <v>15.58</v>
      </c>
      <c r="L344" s="198">
        <v>0.1</v>
      </c>
      <c r="M344" s="184">
        <f>+ROUND(K344*L344,2)</f>
        <v>1.56</v>
      </c>
      <c r="N344" s="203"/>
    </row>
    <row r="345" spans="1:15" s="24" customFormat="1" x14ac:dyDescent="0.35">
      <c r="A345" s="154"/>
      <c r="B345" s="37"/>
      <c r="C345" s="156"/>
      <c r="D345" s="37"/>
      <c r="E345" s="38"/>
      <c r="F345" s="184"/>
      <c r="G345" s="141"/>
      <c r="H345" s="184"/>
      <c r="I345" s="37"/>
      <c r="J345" s="39"/>
      <c r="K345" s="184"/>
      <c r="L345" s="198"/>
      <c r="M345" s="184"/>
      <c r="N345" s="205"/>
    </row>
    <row r="346" spans="1:15" x14ac:dyDescent="0.35">
      <c r="A346" s="516" t="str">
        <f>PO_CPE!A198</f>
        <v>2.10.2.18</v>
      </c>
      <c r="B346" s="539" t="str">
        <f>PO_CPE!D198</f>
        <v>TÊ SÉRIE NORMAL 75X50MM</v>
      </c>
      <c r="C346" s="384" t="str">
        <f>PO_CPE!E198</f>
        <v>UNID.</v>
      </c>
      <c r="D346" s="151"/>
      <c r="E346" s="69"/>
      <c r="F346" s="185"/>
      <c r="G346" s="140"/>
      <c r="H346" s="187">
        <f>+SUM(H347:H350)</f>
        <v>22.622799999999998</v>
      </c>
      <c r="I346" s="182"/>
      <c r="J346" s="183"/>
      <c r="K346" s="187"/>
      <c r="L346" s="197"/>
      <c r="M346" s="187">
        <f>SUM(M347:M348)</f>
        <v>6.12</v>
      </c>
      <c r="N346" s="202">
        <f>+IF(A346&gt;0,SUM(H346:M346),0)</f>
        <v>28.742799999999999</v>
      </c>
      <c r="O346" s="251"/>
    </row>
    <row r="347" spans="1:15" s="14" customFormat="1" ht="54" x14ac:dyDescent="0.3">
      <c r="A347" s="154"/>
      <c r="B347" s="153"/>
      <c r="C347" s="155"/>
      <c r="D347" s="37" t="s">
        <v>708</v>
      </c>
      <c r="E347" s="38" t="str">
        <f>+VLOOKUP(D347,Insumos_MAT!$B$8:$G$16489,2,0)</f>
        <v>UNID.</v>
      </c>
      <c r="F347" s="184">
        <f>+VLOOKUP(D347,Insumos_MAT!$B$8:$G$16489,6,0)</f>
        <v>16.77</v>
      </c>
      <c r="G347" s="141">
        <v>1</v>
      </c>
      <c r="H347" s="184">
        <f>F347*G347</f>
        <v>16.77</v>
      </c>
      <c r="I347" s="37" t="s">
        <v>150</v>
      </c>
      <c r="J347" s="39" t="str">
        <f>+VLOOKUP(I347,Insumos_MO!$B$8:$F$3741,2,0)</f>
        <v>H</v>
      </c>
      <c r="K347" s="184">
        <f>+VLOOKUP(I347,Insumos_MO!$B$8:$G$18183,5,0)</f>
        <v>20.39</v>
      </c>
      <c r="L347" s="198">
        <v>0.17</v>
      </c>
      <c r="M347" s="184">
        <f>+ROUND(K347*L347,2)</f>
        <v>3.47</v>
      </c>
      <c r="N347" s="203"/>
    </row>
    <row r="348" spans="1:15" s="24" customFormat="1" ht="94.5" x14ac:dyDescent="0.35">
      <c r="A348" s="154"/>
      <c r="B348" s="37"/>
      <c r="C348" s="156"/>
      <c r="D348" s="37" t="s">
        <v>688</v>
      </c>
      <c r="E348" s="38" t="str">
        <f>+VLOOKUP(D348,Insumos_MAT!$B$8:$G$16489,2,0)</f>
        <v>UNID.</v>
      </c>
      <c r="F348" s="184">
        <f>+VLOOKUP(D348,Insumos_MAT!$B$8:$G$16489,6,0)</f>
        <v>30.43</v>
      </c>
      <c r="G348" s="141">
        <v>0.04</v>
      </c>
      <c r="H348" s="184">
        <f t="shared" ref="H348:H350" si="11">F348*G348</f>
        <v>1.2172000000000001</v>
      </c>
      <c r="I348" s="37" t="s">
        <v>577</v>
      </c>
      <c r="J348" s="39" t="str">
        <f>+VLOOKUP(I348,Insumos_MO!$B$8:$F$3741,2,0)</f>
        <v>H</v>
      </c>
      <c r="K348" s="184">
        <f>+VLOOKUP(I348,Insumos_MO!$B$8:$G$18183,5,0)</f>
        <v>15.58</v>
      </c>
      <c r="L348" s="198">
        <v>0.17</v>
      </c>
      <c r="M348" s="184">
        <f>+ROUND(K348*L348,2)</f>
        <v>2.65</v>
      </c>
      <c r="N348" s="205"/>
    </row>
    <row r="349" spans="1:15" s="24" customFormat="1" ht="40.5" x14ac:dyDescent="0.35">
      <c r="A349" s="154"/>
      <c r="B349" s="37"/>
      <c r="C349" s="156"/>
      <c r="D349" s="37" t="s">
        <v>687</v>
      </c>
      <c r="E349" s="38" t="str">
        <f>+VLOOKUP(D349,Insumos_MAT!$B$8:$G$16489,2,0)</f>
        <v>UNID.</v>
      </c>
      <c r="F349" s="184">
        <f>+VLOOKUP(D349,Insumos_MAT!$B$8:$G$16489,6,0)</f>
        <v>1.89</v>
      </c>
      <c r="G349" s="141">
        <v>1.04</v>
      </c>
      <c r="H349" s="184">
        <f t="shared" ref="H349" si="12">F349*G349</f>
        <v>1.9656</v>
      </c>
      <c r="I349" s="37"/>
      <c r="J349" s="39"/>
      <c r="K349" s="184"/>
      <c r="L349" s="198"/>
      <c r="M349" s="184"/>
      <c r="N349" s="205"/>
    </row>
    <row r="350" spans="1:15" s="24" customFormat="1" ht="40.5" x14ac:dyDescent="0.35">
      <c r="A350" s="154"/>
      <c r="B350" s="37"/>
      <c r="C350" s="156"/>
      <c r="D350" s="37" t="s">
        <v>696</v>
      </c>
      <c r="E350" s="38" t="str">
        <f>+VLOOKUP(D350,Insumos_MAT!$B$8:$G$16489,2,0)</f>
        <v>UNID.</v>
      </c>
      <c r="F350" s="184">
        <f>+VLOOKUP(D350,Insumos_MAT!$B$8:$G$16489,6,0)</f>
        <v>2.67</v>
      </c>
      <c r="G350" s="141">
        <v>1</v>
      </c>
      <c r="H350" s="184">
        <f t="shared" si="11"/>
        <v>2.67</v>
      </c>
      <c r="I350" s="37"/>
      <c r="J350" s="39"/>
      <c r="K350" s="184"/>
      <c r="L350" s="198"/>
      <c r="M350" s="184"/>
      <c r="N350" s="205"/>
    </row>
    <row r="351" spans="1:15" s="24" customFormat="1" x14ac:dyDescent="0.35">
      <c r="A351" s="154"/>
      <c r="B351" s="37"/>
      <c r="C351" s="156"/>
      <c r="D351" s="37"/>
      <c r="E351" s="38"/>
      <c r="F351" s="184"/>
      <c r="G351" s="141"/>
      <c r="H351" s="184"/>
      <c r="I351" s="37"/>
      <c r="J351" s="39"/>
      <c r="K351" s="184"/>
      <c r="L351" s="198"/>
      <c r="M351" s="184"/>
      <c r="N351" s="205"/>
    </row>
    <row r="352" spans="1:15" ht="27.75" x14ac:dyDescent="0.35">
      <c r="A352" s="149" t="str">
        <f>PO_CPE!A210</f>
        <v>2.14.1</v>
      </c>
      <c r="B352" s="539" t="str">
        <f>PO_CPE!D210</f>
        <v>DESMONTAGEM DE DUTOS METÁLICOS EXISTENTES</v>
      </c>
      <c r="C352" s="384" t="str">
        <f>PO_CPE!E210</f>
        <v>KG</v>
      </c>
      <c r="D352" s="151"/>
      <c r="E352" s="69"/>
      <c r="F352" s="185"/>
      <c r="G352" s="140"/>
      <c r="H352" s="187"/>
      <c r="I352" s="182"/>
      <c r="J352" s="183"/>
      <c r="K352" s="187"/>
      <c r="L352" s="197"/>
      <c r="M352" s="187">
        <f>SUM(M353:M354)</f>
        <v>4.2699999999999996</v>
      </c>
      <c r="N352" s="202">
        <f>+IF(A352&gt;0,SUM(H352:M352),0)</f>
        <v>4.2699999999999996</v>
      </c>
      <c r="O352" s="251"/>
    </row>
    <row r="353" spans="1:15" s="14" customFormat="1" ht="54" x14ac:dyDescent="0.3">
      <c r="A353" s="154"/>
      <c r="B353" s="153"/>
      <c r="C353" s="155"/>
      <c r="D353" s="37"/>
      <c r="E353" s="38"/>
      <c r="F353" s="184"/>
      <c r="G353" s="141"/>
      <c r="H353" s="184"/>
      <c r="I353" s="37" t="s">
        <v>587</v>
      </c>
      <c r="J353" s="39" t="str">
        <f>+VLOOKUP(I353,Insumos_MO!$B$8:$F$3741,2,0)</f>
        <v>H</v>
      </c>
      <c r="K353" s="184">
        <f>+VLOOKUP(I353,Insumos_MO!$B$8:$G$18183,5,0)</f>
        <v>23.09</v>
      </c>
      <c r="L353" s="198">
        <v>0.05</v>
      </c>
      <c r="M353" s="184">
        <f>+ROUND(K353*L353,2)</f>
        <v>1.1499999999999999</v>
      </c>
      <c r="N353" s="203"/>
    </row>
    <row r="354" spans="1:15" s="24" customFormat="1" ht="54" x14ac:dyDescent="0.35">
      <c r="A354" s="154"/>
      <c r="B354" s="37"/>
      <c r="C354" s="156"/>
      <c r="D354" s="37"/>
      <c r="E354" s="38"/>
      <c r="F354" s="184"/>
      <c r="G354" s="141"/>
      <c r="H354" s="184"/>
      <c r="I354" s="37" t="s">
        <v>589</v>
      </c>
      <c r="J354" s="39" t="str">
        <f>+VLOOKUP(I354,Insumos_MO!$B$8:$F$3741,2,0)</f>
        <v>H</v>
      </c>
      <c r="K354" s="184">
        <f>+VLOOKUP(I354,Insumos_MO!$B$8:$G$18183,5,0)</f>
        <v>20.83</v>
      </c>
      <c r="L354" s="198">
        <v>0.15</v>
      </c>
      <c r="M354" s="184">
        <f>+ROUND(K354*L354,2)</f>
        <v>3.12</v>
      </c>
      <c r="N354" s="205"/>
    </row>
    <row r="355" spans="1:15" s="24" customFormat="1" x14ac:dyDescent="0.35">
      <c r="A355" s="154"/>
      <c r="B355" s="37"/>
      <c r="C355" s="156"/>
      <c r="D355" s="37"/>
      <c r="E355" s="38"/>
      <c r="F355" s="184"/>
      <c r="G355" s="141"/>
      <c r="H355" s="184"/>
      <c r="I355" s="37"/>
      <c r="J355" s="39"/>
      <c r="K355" s="184"/>
      <c r="L355" s="198"/>
      <c r="M355" s="184"/>
      <c r="N355" s="205"/>
    </row>
    <row r="356" spans="1:15" ht="36.75" customHeight="1" x14ac:dyDescent="0.35">
      <c r="A356" s="149" t="str">
        <f>PO_CPE!A211</f>
        <v>2.14.2</v>
      </c>
      <c r="B356" s="539" t="str">
        <f>PO_CPE!D211</f>
        <v xml:space="preserve">DUTOS METÁLICOS EM CHAPA GALVANIZADA CONFORME PROJETO, INCLUINDO ACESSÓRIOS </v>
      </c>
      <c r="C356" s="384" t="str">
        <f>PO_CPE!E211</f>
        <v>KG</v>
      </c>
      <c r="D356" s="151"/>
      <c r="E356" s="69"/>
      <c r="F356" s="185"/>
      <c r="G356" s="140"/>
      <c r="H356" s="187">
        <f>+SUM(H357:H362)</f>
        <v>19.621699999999997</v>
      </c>
      <c r="I356" s="182"/>
      <c r="J356" s="183"/>
      <c r="K356" s="187"/>
      <c r="L356" s="197"/>
      <c r="M356" s="187">
        <f>SUM(M357:M358)</f>
        <v>13.18</v>
      </c>
      <c r="N356" s="202">
        <f>+IF(A356&gt;0,SUM(H356:M356),0)</f>
        <v>32.801699999999997</v>
      </c>
      <c r="O356" s="251"/>
    </row>
    <row r="357" spans="1:15" s="14" customFormat="1" ht="54" x14ac:dyDescent="0.3">
      <c r="A357" s="154"/>
      <c r="B357" s="153"/>
      <c r="C357" s="155"/>
      <c r="D357" s="37" t="s">
        <v>599</v>
      </c>
      <c r="E357" s="38" t="str">
        <f>+VLOOKUP(D357,Insumos_MAT!$B$8:$G$16489,2,0)</f>
        <v>KG</v>
      </c>
      <c r="F357" s="184">
        <f>+VLOOKUP(D357,Insumos_MAT!$B$8:$G$16489,6,0)</f>
        <v>17.25</v>
      </c>
      <c r="G357" s="141">
        <v>1</v>
      </c>
      <c r="H357" s="184">
        <f>F357*G357</f>
        <v>17.25</v>
      </c>
      <c r="I357" s="37" t="s">
        <v>587</v>
      </c>
      <c r="J357" s="39" t="str">
        <f>+VLOOKUP(I357,Insumos_MO!$B$8:$F$3741,2,0)</f>
        <v>H</v>
      </c>
      <c r="K357" s="184">
        <f>+VLOOKUP(I357,Insumos_MO!$B$8:$G$18183,5,0)</f>
        <v>23.09</v>
      </c>
      <c r="L357" s="198">
        <v>0.3</v>
      </c>
      <c r="M357" s="184">
        <f>+ROUND(K357*L357,2)</f>
        <v>6.93</v>
      </c>
      <c r="N357" s="203"/>
    </row>
    <row r="358" spans="1:15" s="24" customFormat="1" ht="121.5" x14ac:dyDescent="0.35">
      <c r="A358" s="154"/>
      <c r="B358" s="37"/>
      <c r="C358" s="156"/>
      <c r="D358" s="37" t="s">
        <v>600</v>
      </c>
      <c r="E358" s="38" t="str">
        <f>+VLOOKUP(D358,Insumos_MAT!$B$8:$G$16489,2,0)</f>
        <v>UNID.</v>
      </c>
      <c r="F358" s="184">
        <f>+VLOOKUP(D358,Insumos_MAT!$B$8:$G$16489,6,0)</f>
        <v>0.8</v>
      </c>
      <c r="G358" s="141">
        <v>0.3</v>
      </c>
      <c r="H358" s="184">
        <f t="shared" ref="H358:H362" si="13">F358*G358</f>
        <v>0.24</v>
      </c>
      <c r="I358" s="37" t="s">
        <v>589</v>
      </c>
      <c r="J358" s="39" t="str">
        <f>+VLOOKUP(I358,Insumos_MO!$B$8:$F$3741,2,0)</f>
        <v>H</v>
      </c>
      <c r="K358" s="184">
        <f>+VLOOKUP(I358,Insumos_MO!$B$8:$G$18183,5,0)</f>
        <v>20.83</v>
      </c>
      <c r="L358" s="198">
        <v>0.3</v>
      </c>
      <c r="M358" s="184">
        <f>+ROUND(K358*L358,2)</f>
        <v>6.25</v>
      </c>
      <c r="N358" s="205"/>
    </row>
    <row r="359" spans="1:15" s="24" customFormat="1" ht="40.5" x14ac:dyDescent="0.35">
      <c r="A359" s="154"/>
      <c r="B359" s="37"/>
      <c r="C359" s="156"/>
      <c r="D359" s="37" t="s">
        <v>601</v>
      </c>
      <c r="E359" s="38" t="str">
        <f>+VLOOKUP(D359,Insumos_MAT!$B$8:$G$16489,2,0)</f>
        <v>M</v>
      </c>
      <c r="F359" s="184">
        <f>+VLOOKUP(D359,Insumos_MAT!$B$8:$G$16489,6,0)</f>
        <v>18.170000000000002</v>
      </c>
      <c r="G359" s="141">
        <v>0.1</v>
      </c>
      <c r="H359" s="184">
        <f t="shared" si="13"/>
        <v>1.8170000000000002</v>
      </c>
      <c r="I359" s="37"/>
      <c r="J359" s="39"/>
      <c r="K359" s="184"/>
      <c r="L359" s="198"/>
      <c r="M359" s="184"/>
      <c r="N359" s="205"/>
    </row>
    <row r="360" spans="1:15" s="24" customFormat="1" ht="40.5" x14ac:dyDescent="0.35">
      <c r="A360" s="154"/>
      <c r="B360" s="37"/>
      <c r="C360" s="156"/>
      <c r="D360" s="37" t="s">
        <v>602</v>
      </c>
      <c r="E360" s="38" t="str">
        <f>+VLOOKUP(D360,Insumos_MAT!$B$8:$G$16489,2,0)</f>
        <v>UNID.</v>
      </c>
      <c r="F360" s="184">
        <f>+VLOOKUP(D360,Insumos_MAT!$B$8:$G$16489,6,0)</f>
        <v>0.75</v>
      </c>
      <c r="G360" s="141">
        <v>0.1</v>
      </c>
      <c r="H360" s="184">
        <f t="shared" si="13"/>
        <v>7.5000000000000011E-2</v>
      </c>
      <c r="I360" s="37"/>
      <c r="J360" s="39"/>
      <c r="K360" s="184"/>
      <c r="L360" s="198"/>
      <c r="M360" s="184"/>
      <c r="N360" s="205"/>
    </row>
    <row r="361" spans="1:15" s="24" customFormat="1" ht="40.5" x14ac:dyDescent="0.35">
      <c r="A361" s="154"/>
      <c r="B361" s="37"/>
      <c r="C361" s="156"/>
      <c r="D361" s="37" t="s">
        <v>603</v>
      </c>
      <c r="E361" s="38" t="str">
        <f>+VLOOKUP(D361,Insumos_MAT!$B$8:$G$16489,2,0)</f>
        <v>M</v>
      </c>
      <c r="F361" s="184">
        <f>+VLOOKUP(D361,Insumos_MAT!$B$8:$G$16489,6,0)</f>
        <v>4.0599999999999996</v>
      </c>
      <c r="G361" s="141">
        <v>4.4999999999999998E-2</v>
      </c>
      <c r="H361" s="184">
        <f t="shared" si="13"/>
        <v>0.18269999999999997</v>
      </c>
      <c r="I361" s="37"/>
      <c r="J361" s="39"/>
      <c r="K361" s="184"/>
      <c r="L361" s="198"/>
      <c r="M361" s="184"/>
      <c r="N361" s="205"/>
    </row>
    <row r="362" spans="1:15" s="24" customFormat="1" ht="40.5" x14ac:dyDescent="0.35">
      <c r="A362" s="154"/>
      <c r="B362" s="37"/>
      <c r="C362" s="156"/>
      <c r="D362" s="37" t="s">
        <v>604</v>
      </c>
      <c r="E362" s="38" t="str">
        <f>+VLOOKUP(D362,Insumos_MAT!$B$8:$G$16489,2,0)</f>
        <v>UNID.</v>
      </c>
      <c r="F362" s="184">
        <f>+VLOOKUP(D362,Insumos_MAT!$B$8:$G$16489,6,0)</f>
        <v>0.19</v>
      </c>
      <c r="G362" s="141">
        <v>0.3</v>
      </c>
      <c r="H362" s="184">
        <f t="shared" si="13"/>
        <v>5.6999999999999995E-2</v>
      </c>
      <c r="I362" s="37"/>
      <c r="J362" s="39"/>
      <c r="K362" s="184"/>
      <c r="L362" s="198"/>
      <c r="M362" s="184"/>
      <c r="N362" s="205"/>
    </row>
    <row r="363" spans="1:15" s="24" customFormat="1" x14ac:dyDescent="0.35">
      <c r="A363" s="154"/>
      <c r="B363" s="37"/>
      <c r="C363" s="156"/>
      <c r="D363" s="37"/>
      <c r="E363" s="38"/>
      <c r="F363" s="184"/>
      <c r="G363" s="141"/>
      <c r="H363" s="184"/>
      <c r="I363" s="37"/>
      <c r="J363" s="39"/>
      <c r="K363" s="184"/>
      <c r="L363" s="198"/>
      <c r="M363" s="184"/>
      <c r="N363" s="205"/>
    </row>
    <row r="364" spans="1:15" ht="85.5" customHeight="1" x14ac:dyDescent="0.35">
      <c r="A364" s="149" t="str">
        <f>PO_CPE!A212</f>
        <v>2.14.3</v>
      </c>
      <c r="B364" s="539" t="str">
        <f>PO_CPE!D212</f>
        <v>ISOLAMENTO TÉRMICO EM MANTA DE LÃ DE VIDRO SEM AGLUTINANTE E INCOMBUSTÍVEL, ESPESSURA MÍNIMA 38MM, DENSIDADE MÉDIA 25Kg/m², REVESTIDA COM PAPEL TIPO KRAFT E PELÍCULA DE ALUMÍNIO NA FACE EXTERNA - ROLO COM 15M2</v>
      </c>
      <c r="C364" s="384" t="str">
        <f>PO_CPE!E212</f>
        <v>UNID.</v>
      </c>
      <c r="D364" s="151"/>
      <c r="E364" s="69"/>
      <c r="F364" s="185"/>
      <c r="G364" s="140"/>
      <c r="H364" s="187">
        <f>+SUM(H365:H366)</f>
        <v>216.45</v>
      </c>
      <c r="I364" s="182"/>
      <c r="J364" s="183"/>
      <c r="K364" s="187"/>
      <c r="L364" s="197"/>
      <c r="M364" s="187">
        <f>SUM(M365:M366)</f>
        <v>131.76</v>
      </c>
      <c r="N364" s="202">
        <f>+IF(A364&gt;0,SUM(H364:M364),0)</f>
        <v>348.21</v>
      </c>
      <c r="O364" s="251"/>
    </row>
    <row r="365" spans="1:15" s="14" customFormat="1" ht="162" x14ac:dyDescent="0.3">
      <c r="A365" s="154"/>
      <c r="B365" s="153"/>
      <c r="C365" s="155"/>
      <c r="D365" s="37" t="s">
        <v>610</v>
      </c>
      <c r="E365" s="38" t="str">
        <f>+VLOOKUP(D365,Insumos_MAT!$B$8:$G$16489,2,0)</f>
        <v>M2</v>
      </c>
      <c r="F365" s="184">
        <f>+VLOOKUP(D365,Insumos_MAT!$B$8:$G$16489,6,0)</f>
        <v>14.43</v>
      </c>
      <c r="G365" s="141">
        <v>15</v>
      </c>
      <c r="H365" s="184">
        <f>F365*G365</f>
        <v>216.45</v>
      </c>
      <c r="I365" s="37" t="s">
        <v>587</v>
      </c>
      <c r="J365" s="39" t="str">
        <f>+VLOOKUP(I365,Insumos_MO!$B$8:$F$3741,2,0)</f>
        <v>H</v>
      </c>
      <c r="K365" s="184">
        <f>+VLOOKUP(I365,Insumos_MO!$B$8:$G$18183,5,0)</f>
        <v>23.09</v>
      </c>
      <c r="L365" s="198">
        <f>0.2*G365</f>
        <v>3</v>
      </c>
      <c r="M365" s="184">
        <f>+ROUND(K365*L365,2)</f>
        <v>69.27</v>
      </c>
      <c r="N365" s="203"/>
    </row>
    <row r="366" spans="1:15" s="24" customFormat="1" ht="54" x14ac:dyDescent="0.35">
      <c r="A366" s="154"/>
      <c r="B366" s="37"/>
      <c r="C366" s="156"/>
      <c r="D366" s="37"/>
      <c r="E366" s="38"/>
      <c r="F366" s="184"/>
      <c r="G366" s="141"/>
      <c r="H366" s="184"/>
      <c r="I366" s="37" t="s">
        <v>589</v>
      </c>
      <c r="J366" s="39" t="str">
        <f>+VLOOKUP(I366,Insumos_MO!$B$8:$F$3741,2,0)</f>
        <v>H</v>
      </c>
      <c r="K366" s="184">
        <f>+VLOOKUP(I366,Insumos_MO!$B$8:$G$18183,5,0)</f>
        <v>20.83</v>
      </c>
      <c r="L366" s="198">
        <f>L365</f>
        <v>3</v>
      </c>
      <c r="M366" s="184">
        <f>+ROUND(K366*L366,2)</f>
        <v>62.49</v>
      </c>
      <c r="N366" s="205"/>
    </row>
    <row r="367" spans="1:15" s="24" customFormat="1" x14ac:dyDescent="0.35">
      <c r="A367" s="154"/>
      <c r="B367" s="37"/>
      <c r="C367" s="156"/>
      <c r="D367" s="37"/>
      <c r="E367" s="38"/>
      <c r="F367" s="184"/>
      <c r="G367" s="141"/>
      <c r="H367" s="184"/>
      <c r="I367" s="37"/>
      <c r="J367" s="39"/>
      <c r="K367" s="184"/>
      <c r="L367" s="198"/>
      <c r="M367" s="184"/>
      <c r="N367" s="205"/>
    </row>
    <row r="368" spans="1:15" ht="68.25" x14ac:dyDescent="0.35">
      <c r="A368" s="149" t="str">
        <f>PO_CPE!A213</f>
        <v>2.14.4</v>
      </c>
      <c r="B368" s="539" t="str">
        <f>PO_CPE!D213</f>
        <v>DIFUSOR QUADRADO 4 VIAS EM ALUMÍNIO ANODIZADO C/ CAPTOR DE ACIONAMENTO MANUAL REF. T6 (498x498)mm MOD. DQE-41, TROPICAL OU EQUIVALENTE</v>
      </c>
      <c r="C368" s="384" t="str">
        <f>PO_CPE!E213</f>
        <v>UNID.</v>
      </c>
      <c r="D368" s="151"/>
      <c r="E368" s="69"/>
      <c r="F368" s="185"/>
      <c r="G368" s="140"/>
      <c r="H368" s="187">
        <f>+SUM(H369:H371)</f>
        <v>658.66700000000003</v>
      </c>
      <c r="I368" s="182"/>
      <c r="J368" s="183"/>
      <c r="K368" s="187"/>
      <c r="L368" s="197"/>
      <c r="M368" s="187">
        <f>SUM(M369:M370)</f>
        <v>65.89</v>
      </c>
      <c r="N368" s="202">
        <f>+IF(A368&gt;0,SUM(H368:M368),0)</f>
        <v>724.55700000000002</v>
      </c>
      <c r="O368" s="251"/>
    </row>
    <row r="369" spans="1:15" s="14" customFormat="1" ht="93" customHeight="1" x14ac:dyDescent="0.3">
      <c r="A369" s="154"/>
      <c r="B369" s="153"/>
      <c r="C369" s="155"/>
      <c r="D369" s="37" t="s">
        <v>510</v>
      </c>
      <c r="E369" s="38" t="str">
        <f>+VLOOKUP(D369,Insumos_MAT!$B$8:$G$16489,2,0)</f>
        <v>UNID.</v>
      </c>
      <c r="F369" s="184">
        <f>+VLOOKUP(D369,Insumos_MAT!$B$8:$G$16489,6,0)</f>
        <v>474.53700000000003</v>
      </c>
      <c r="G369" s="141">
        <v>1</v>
      </c>
      <c r="H369" s="184">
        <f>F369*G369</f>
        <v>474.53700000000003</v>
      </c>
      <c r="I369" s="37" t="s">
        <v>587</v>
      </c>
      <c r="J369" s="39" t="str">
        <f>+VLOOKUP(I369,Insumos_MO!$B$8:$F$3741,2,0)</f>
        <v>H</v>
      </c>
      <c r="K369" s="184">
        <f>+VLOOKUP(I369,Insumos_MO!$B$8:$G$18183,5,0)</f>
        <v>23.09</v>
      </c>
      <c r="L369" s="198">
        <v>1.5</v>
      </c>
      <c r="M369" s="184">
        <f>+ROUND(K369*L369,2)</f>
        <v>34.64</v>
      </c>
      <c r="N369" s="203"/>
    </row>
    <row r="370" spans="1:15" s="24" customFormat="1" ht="54" x14ac:dyDescent="0.35">
      <c r="A370" s="154"/>
      <c r="B370" s="37"/>
      <c r="C370" s="156"/>
      <c r="D370" s="37" t="s">
        <v>596</v>
      </c>
      <c r="E370" s="38" t="str">
        <f>+VLOOKUP(D370,Insumos_MAT!$B$8:$G$16489,2,0)</f>
        <v>UNID.</v>
      </c>
      <c r="F370" s="184">
        <f>+VLOOKUP(D370,Insumos_MAT!$B$8:$G$16489,6,0)</f>
        <v>184.13</v>
      </c>
      <c r="G370" s="141">
        <v>1</v>
      </c>
      <c r="H370" s="184">
        <f>F370*G370</f>
        <v>184.13</v>
      </c>
      <c r="I370" s="37" t="s">
        <v>589</v>
      </c>
      <c r="J370" s="39" t="str">
        <f>+VLOOKUP(I370,Insumos_MO!$B$8:$F$3741,2,0)</f>
        <v>H</v>
      </c>
      <c r="K370" s="184">
        <f>+VLOOKUP(I370,Insumos_MO!$B$8:$G$18183,5,0)</f>
        <v>20.83</v>
      </c>
      <c r="L370" s="198">
        <v>1.5</v>
      </c>
      <c r="M370" s="184">
        <f>+ROUND(K370*L370,2)</f>
        <v>31.25</v>
      </c>
      <c r="N370" s="205"/>
    </row>
    <row r="371" spans="1:15" s="24" customFormat="1" x14ac:dyDescent="0.35">
      <c r="A371" s="154"/>
      <c r="B371" s="37"/>
      <c r="C371" s="156"/>
      <c r="D371" s="37"/>
      <c r="E371" s="38"/>
      <c r="F371" s="184"/>
      <c r="G371" s="141"/>
      <c r="H371" s="184"/>
      <c r="I371" s="37"/>
      <c r="J371" s="39"/>
      <c r="K371" s="184"/>
      <c r="L371" s="198"/>
      <c r="M371" s="184"/>
      <c r="N371" s="205"/>
    </row>
    <row r="372" spans="1:15" ht="64.5" customHeight="1" x14ac:dyDescent="0.35">
      <c r="A372" s="149" t="str">
        <f>PO_CPE!A218</f>
        <v>2.14.9</v>
      </c>
      <c r="B372" s="539" t="str">
        <f>PO_CPE!D218</f>
        <v>DIFUSOR QUADRADO 3 VIAS EM ALUMÍNIO ANODIZADO C/ CAPTOR DE ACIONAMENTO MANUAL REF. T7 (598x598)mm MOD. DQE-31, TROPICAL OU EQUIVALENTE</v>
      </c>
      <c r="C372" s="384" t="str">
        <f>PO_CPE!E218</f>
        <v>UNID.</v>
      </c>
      <c r="D372" s="151"/>
      <c r="E372" s="69"/>
      <c r="F372" s="185"/>
      <c r="G372" s="140"/>
      <c r="H372" s="187">
        <f>+SUM(H373:H375)</f>
        <v>882.24234000000001</v>
      </c>
      <c r="I372" s="182"/>
      <c r="J372" s="183"/>
      <c r="K372" s="187"/>
      <c r="L372" s="197"/>
      <c r="M372" s="187">
        <f>SUM(M373:M374)</f>
        <v>65.89</v>
      </c>
      <c r="N372" s="202">
        <f>+IF(A372&gt;0,SUM(H372:M372),0)</f>
        <v>948.13234</v>
      </c>
      <c r="O372" s="251"/>
    </row>
    <row r="373" spans="1:15" s="14" customFormat="1" ht="108" x14ac:dyDescent="0.3">
      <c r="A373" s="154"/>
      <c r="B373" s="153"/>
      <c r="C373" s="155"/>
      <c r="D373" s="37" t="s">
        <v>826</v>
      </c>
      <c r="E373" s="38" t="str">
        <f>+VLOOKUP(D373,Insumos_MAT!$B$8:$G$16489,2,0)</f>
        <v>UNID.</v>
      </c>
      <c r="F373" s="184">
        <f>+VLOOKUP(D373,Insumos_MAT!$B$8:$G$16489,6,0)</f>
        <v>649.23599999999999</v>
      </c>
      <c r="G373" s="141">
        <v>1</v>
      </c>
      <c r="H373" s="184">
        <f>F373*G373</f>
        <v>649.23599999999999</v>
      </c>
      <c r="I373" s="37" t="s">
        <v>587</v>
      </c>
      <c r="J373" s="39" t="str">
        <f>+VLOOKUP(I373,Insumos_MO!$B$8:$F$3741,2,0)</f>
        <v>H</v>
      </c>
      <c r="K373" s="184">
        <f>+VLOOKUP(I373,Insumos_MO!$B$8:$G$18183,5,0)</f>
        <v>23.09</v>
      </c>
      <c r="L373" s="198">
        <v>1.5</v>
      </c>
      <c r="M373" s="184">
        <f>+ROUND(K373*L373,2)</f>
        <v>34.64</v>
      </c>
      <c r="N373" s="203"/>
    </row>
    <row r="374" spans="1:15" s="24" customFormat="1" ht="54" x14ac:dyDescent="0.35">
      <c r="A374" s="154"/>
      <c r="B374" s="37"/>
      <c r="C374" s="156"/>
      <c r="D374" s="37" t="s">
        <v>914</v>
      </c>
      <c r="E374" s="38" t="str">
        <f>+VLOOKUP(D374,Insumos_MAT!$B$8:$G$16489,2,0)</f>
        <v>UNID.</v>
      </c>
      <c r="F374" s="184">
        <f>+VLOOKUP(D374,Insumos_MAT!$B$8:$G$16489,6,0)</f>
        <v>233.00633999999999</v>
      </c>
      <c r="G374" s="141">
        <v>1</v>
      </c>
      <c r="H374" s="184">
        <f>F374*G374</f>
        <v>233.00633999999999</v>
      </c>
      <c r="I374" s="37" t="s">
        <v>589</v>
      </c>
      <c r="J374" s="39" t="str">
        <f>+VLOOKUP(I374,Insumos_MO!$B$8:$F$3741,2,0)</f>
        <v>H</v>
      </c>
      <c r="K374" s="184">
        <f>+VLOOKUP(I374,Insumos_MO!$B$8:$G$18183,5,0)</f>
        <v>20.83</v>
      </c>
      <c r="L374" s="198">
        <v>1.5</v>
      </c>
      <c r="M374" s="184">
        <f>+ROUND(K374*L374,2)</f>
        <v>31.25</v>
      </c>
      <c r="N374" s="205"/>
    </row>
    <row r="375" spans="1:15" s="24" customFormat="1" x14ac:dyDescent="0.35">
      <c r="A375" s="154"/>
      <c r="B375" s="37"/>
      <c r="C375" s="156"/>
      <c r="D375" s="37"/>
      <c r="E375" s="38"/>
      <c r="F375" s="184"/>
      <c r="G375" s="141"/>
      <c r="H375" s="184"/>
      <c r="I375" s="37"/>
      <c r="J375" s="39"/>
      <c r="K375" s="184"/>
      <c r="L375" s="198"/>
      <c r="M375" s="184"/>
      <c r="N375" s="205"/>
    </row>
    <row r="376" spans="1:15" ht="64.5" customHeight="1" x14ac:dyDescent="0.35">
      <c r="A376" s="149" t="str">
        <f>PO_CPE!A215</f>
        <v>2.14.6</v>
      </c>
      <c r="B376" s="539" t="str">
        <f>PO_CPE!D215</f>
        <v>DIFUSOR QUADRADO 3 VIAS EM ALUMÍNIO ANODIZADO C/ CAPTOR DE ACIONAMENTO MANUAL
REF. T4 (412x412)mm MOD. DQE-31, TROPICAL OU EQUIVALENTE</v>
      </c>
      <c r="C376" s="384" t="str">
        <f>PO_CPE!E215</f>
        <v>UNID.</v>
      </c>
      <c r="D376" s="151"/>
      <c r="E376" s="69"/>
      <c r="F376" s="185"/>
      <c r="G376" s="140"/>
      <c r="H376" s="187">
        <f>+SUM(H377:H379)</f>
        <v>356.64944000000003</v>
      </c>
      <c r="I376" s="182"/>
      <c r="J376" s="183"/>
      <c r="K376" s="187"/>
      <c r="L376" s="197"/>
      <c r="M376" s="187">
        <f>SUM(M377:M378)</f>
        <v>65.89</v>
      </c>
      <c r="N376" s="202">
        <f>+IF(A376&gt;0,SUM(H376:M376),0)</f>
        <v>422.53944000000001</v>
      </c>
      <c r="O376" s="251"/>
    </row>
    <row r="377" spans="1:15" s="14" customFormat="1" ht="108" x14ac:dyDescent="0.3">
      <c r="A377" s="154"/>
      <c r="B377" s="153"/>
      <c r="C377" s="155"/>
      <c r="D377" s="37" t="s">
        <v>962</v>
      </c>
      <c r="E377" s="38" t="str">
        <f>+VLOOKUP(D377,Insumos_MAT!$B$8:$G$16489,2,0)</f>
        <v>UNID.</v>
      </c>
      <c r="F377" s="184">
        <f>+VLOOKUP(D377,Insumos_MAT!$B$8:$G$16489,6,0)</f>
        <v>211.81944000000001</v>
      </c>
      <c r="G377" s="141">
        <v>1</v>
      </c>
      <c r="H377" s="184">
        <f>F377*G377</f>
        <v>211.81944000000001</v>
      </c>
      <c r="I377" s="37" t="s">
        <v>587</v>
      </c>
      <c r="J377" s="39" t="str">
        <f>+VLOOKUP(I377,Insumos_MO!$B$8:$F$3741,2,0)</f>
        <v>H</v>
      </c>
      <c r="K377" s="184">
        <f>+VLOOKUP(I377,Insumos_MO!$B$8:$G$18183,5,0)</f>
        <v>23.09</v>
      </c>
      <c r="L377" s="198">
        <v>1.5</v>
      </c>
      <c r="M377" s="184">
        <f>+ROUND(K377*L377,2)</f>
        <v>34.64</v>
      </c>
      <c r="N377" s="203"/>
    </row>
    <row r="378" spans="1:15" s="24" customFormat="1" ht="54" x14ac:dyDescent="0.35">
      <c r="A378" s="154"/>
      <c r="B378" s="37"/>
      <c r="C378" s="156"/>
      <c r="D378" s="37" t="s">
        <v>595</v>
      </c>
      <c r="E378" s="38" t="str">
        <f>+VLOOKUP(D378,Insumos_MAT!$B$8:$G$16489,2,0)</f>
        <v>UNID.</v>
      </c>
      <c r="F378" s="184">
        <f>+VLOOKUP(D378,Insumos_MAT!$B$8:$G$16489,6,0)</f>
        <v>144.83000000000001</v>
      </c>
      <c r="G378" s="141">
        <v>1</v>
      </c>
      <c r="H378" s="184">
        <f>F378*G378</f>
        <v>144.83000000000001</v>
      </c>
      <c r="I378" s="37" t="s">
        <v>589</v>
      </c>
      <c r="J378" s="39" t="str">
        <f>+VLOOKUP(I378,Insumos_MO!$B$8:$F$3741,2,0)</f>
        <v>H</v>
      </c>
      <c r="K378" s="184">
        <f>+VLOOKUP(I378,Insumos_MO!$B$8:$G$18183,5,0)</f>
        <v>20.83</v>
      </c>
      <c r="L378" s="198">
        <v>1.5</v>
      </c>
      <c r="M378" s="184">
        <f>+ROUND(K378*L378,2)</f>
        <v>31.25</v>
      </c>
      <c r="N378" s="205"/>
    </row>
    <row r="379" spans="1:15" s="24" customFormat="1" x14ac:dyDescent="0.35">
      <c r="A379" s="154"/>
      <c r="B379" s="37"/>
      <c r="C379" s="156"/>
      <c r="D379" s="37"/>
      <c r="E379" s="38"/>
      <c r="F379" s="184"/>
      <c r="G379" s="141"/>
      <c r="H379" s="184"/>
      <c r="I379" s="37"/>
      <c r="J379" s="39"/>
      <c r="K379" s="184"/>
      <c r="L379" s="198"/>
      <c r="M379" s="184"/>
      <c r="N379" s="205"/>
    </row>
    <row r="380" spans="1:15" ht="64.5" customHeight="1" x14ac:dyDescent="0.35">
      <c r="A380" s="149" t="str">
        <f>PO_CPE!A219</f>
        <v>2.14.10</v>
      </c>
      <c r="B380" s="539" t="str">
        <f>PO_CPE!D219</f>
        <v>DIFUSOR QUADRADO 4 VIAS EM ALUMÍNIO ANODIZADO C/ CAPTOR DE ACIONAMENTO MANUAL REF. T8 (623x623)mm MOD. DQE-41, TROPICAL OU EQUIVALENTE</v>
      </c>
      <c r="C380" s="384" t="str">
        <f>PO_CPE!E219</f>
        <v>UNID.</v>
      </c>
      <c r="D380" s="151"/>
      <c r="E380" s="69"/>
      <c r="F380" s="185"/>
      <c r="G380" s="140"/>
      <c r="H380" s="187">
        <f>+SUM(H381:H383)</f>
        <v>970.73171999999988</v>
      </c>
      <c r="I380" s="182"/>
      <c r="J380" s="183"/>
      <c r="K380" s="187"/>
      <c r="L380" s="197"/>
      <c r="M380" s="187">
        <f>SUM(M381:M382)</f>
        <v>65.89</v>
      </c>
      <c r="N380" s="202">
        <f>+IF(A380&gt;0,SUM(H380:M380),0)</f>
        <v>1036.6217199999999</v>
      </c>
      <c r="O380" s="251"/>
    </row>
    <row r="381" spans="1:15" s="14" customFormat="1" ht="108" x14ac:dyDescent="0.3">
      <c r="A381" s="154"/>
      <c r="B381" s="153"/>
      <c r="C381" s="155"/>
      <c r="D381" s="37" t="s">
        <v>828</v>
      </c>
      <c r="E381" s="38" t="str">
        <f>+VLOOKUP(D381,Insumos_MAT!$B$8:$G$16489,2,0)</f>
        <v>UNID.</v>
      </c>
      <c r="F381" s="184">
        <f>+VLOOKUP(D381,Insumos_MAT!$B$8:$G$16489,6,0)</f>
        <v>724.81499999999994</v>
      </c>
      <c r="G381" s="141">
        <v>1</v>
      </c>
      <c r="H381" s="184">
        <f>F381*G381</f>
        <v>724.81499999999994</v>
      </c>
      <c r="I381" s="37" t="s">
        <v>587</v>
      </c>
      <c r="J381" s="39" t="str">
        <f>+VLOOKUP(I381,Insumos_MO!$B$8:$F$3741,2,0)</f>
        <v>H</v>
      </c>
      <c r="K381" s="184">
        <f>+VLOOKUP(I381,Insumos_MO!$B$8:$G$18183,5,0)</f>
        <v>23.09</v>
      </c>
      <c r="L381" s="198">
        <v>1.5</v>
      </c>
      <c r="M381" s="184">
        <f>+ROUND(K381*L381,2)</f>
        <v>34.64</v>
      </c>
      <c r="N381" s="203"/>
    </row>
    <row r="382" spans="1:15" s="24" customFormat="1" ht="54" x14ac:dyDescent="0.35">
      <c r="A382" s="154"/>
      <c r="B382" s="37"/>
      <c r="C382" s="156"/>
      <c r="D382" s="37" t="s">
        <v>915</v>
      </c>
      <c r="E382" s="38" t="str">
        <f>+VLOOKUP(D382,Insumos_MAT!$B$8:$G$16489,2,0)</f>
        <v>UNID.</v>
      </c>
      <c r="F382" s="184">
        <f>+VLOOKUP(D382,Insumos_MAT!$B$8:$G$16489,6,0)</f>
        <v>245.91671999999997</v>
      </c>
      <c r="G382" s="141">
        <v>1</v>
      </c>
      <c r="H382" s="184">
        <f>F382*G382</f>
        <v>245.91671999999997</v>
      </c>
      <c r="I382" s="37" t="s">
        <v>589</v>
      </c>
      <c r="J382" s="39" t="str">
        <f>+VLOOKUP(I382,Insumos_MO!$B$8:$F$3741,2,0)</f>
        <v>H</v>
      </c>
      <c r="K382" s="184">
        <f>+VLOOKUP(I382,Insumos_MO!$B$8:$G$18183,5,0)</f>
        <v>20.83</v>
      </c>
      <c r="L382" s="198">
        <v>1.5</v>
      </c>
      <c r="M382" s="184">
        <f>+ROUND(K382*L382,2)</f>
        <v>31.25</v>
      </c>
      <c r="N382" s="205"/>
    </row>
    <row r="383" spans="1:15" s="24" customFormat="1" x14ac:dyDescent="0.35">
      <c r="A383" s="154"/>
      <c r="B383" s="37"/>
      <c r="C383" s="156"/>
      <c r="D383" s="37"/>
      <c r="E383" s="38"/>
      <c r="F383" s="184"/>
      <c r="G383" s="141"/>
      <c r="H383" s="184"/>
      <c r="I383" s="37"/>
      <c r="J383" s="39"/>
      <c r="K383" s="184"/>
      <c r="L383" s="198"/>
      <c r="M383" s="184"/>
      <c r="N383" s="205"/>
    </row>
    <row r="384" spans="1:15" ht="64.5" customHeight="1" x14ac:dyDescent="0.35">
      <c r="A384" s="149" t="str">
        <f>PO_CPE!A214</f>
        <v>2.14.5</v>
      </c>
      <c r="B384" s="539" t="str">
        <f>PO_CPE!D214</f>
        <v>DIFUSOR QUADRADO 4 VIAS EM ALUMÍNIO ANODIZADO C/ CAPTOR DE ACIONAMENTO MANUAL
REF. T4 (412x412)mm MOD. DQE-41, TROPICAL OU EQUIVALENTE</v>
      </c>
      <c r="C384" s="384" t="str">
        <f>PO_CPE!E214</f>
        <v>UNID.</v>
      </c>
      <c r="D384" s="151"/>
      <c r="E384" s="69"/>
      <c r="F384" s="185"/>
      <c r="G384" s="140"/>
      <c r="H384" s="187">
        <f>+SUM(H385:H387)</f>
        <v>457.05799999999999</v>
      </c>
      <c r="I384" s="182"/>
      <c r="J384" s="183"/>
      <c r="K384" s="187"/>
      <c r="L384" s="197"/>
      <c r="M384" s="187">
        <f>SUM(M385:M386)</f>
        <v>65.89</v>
      </c>
      <c r="N384" s="202">
        <f>+IF(A384&gt;0,SUM(H384:M384),0)</f>
        <v>522.94799999999998</v>
      </c>
      <c r="O384" s="251"/>
    </row>
    <row r="385" spans="1:15" s="14" customFormat="1" ht="108" x14ac:dyDescent="0.3">
      <c r="A385" s="154"/>
      <c r="B385" s="153"/>
      <c r="C385" s="155"/>
      <c r="D385" s="37" t="s">
        <v>597</v>
      </c>
      <c r="E385" s="38" t="str">
        <f>+VLOOKUP(D385,Insumos_MAT!$B$8:$G$16489,2,0)</f>
        <v>UNID.</v>
      </c>
      <c r="F385" s="184">
        <f>+VLOOKUP(D385,Insumos_MAT!$B$8:$G$16489,6,0)</f>
        <v>312.22799999999995</v>
      </c>
      <c r="G385" s="141">
        <v>1</v>
      </c>
      <c r="H385" s="184">
        <f>F385*G385</f>
        <v>312.22799999999995</v>
      </c>
      <c r="I385" s="37" t="s">
        <v>587</v>
      </c>
      <c r="J385" s="39" t="str">
        <f>+VLOOKUP(I385,Insumos_MO!$B$8:$F$3741,2,0)</f>
        <v>H</v>
      </c>
      <c r="K385" s="184">
        <f>+VLOOKUP(I385,Insumos_MO!$B$8:$G$18183,5,0)</f>
        <v>23.09</v>
      </c>
      <c r="L385" s="198">
        <v>1.5</v>
      </c>
      <c r="M385" s="184">
        <f>+ROUND(K385*L385,2)</f>
        <v>34.64</v>
      </c>
      <c r="N385" s="203"/>
    </row>
    <row r="386" spans="1:15" s="24" customFormat="1" ht="54" x14ac:dyDescent="0.35">
      <c r="A386" s="154"/>
      <c r="B386" s="37"/>
      <c r="C386" s="156"/>
      <c r="D386" s="37" t="s">
        <v>595</v>
      </c>
      <c r="E386" s="38" t="str">
        <f>+VLOOKUP(D386,Insumos_MAT!$B$8:$G$16489,2,0)</f>
        <v>UNID.</v>
      </c>
      <c r="F386" s="184">
        <f>+VLOOKUP(D386,Insumos_MAT!$B$8:$G$16489,6,0)</f>
        <v>144.83000000000001</v>
      </c>
      <c r="G386" s="141">
        <v>1</v>
      </c>
      <c r="H386" s="184">
        <f>F386*G386</f>
        <v>144.83000000000001</v>
      </c>
      <c r="I386" s="37" t="s">
        <v>589</v>
      </c>
      <c r="J386" s="39" t="str">
        <f>+VLOOKUP(I386,Insumos_MO!$B$8:$F$3741,2,0)</f>
        <v>H</v>
      </c>
      <c r="K386" s="184">
        <f>+VLOOKUP(I386,Insumos_MO!$B$8:$G$18183,5,0)</f>
        <v>20.83</v>
      </c>
      <c r="L386" s="198">
        <v>1.5</v>
      </c>
      <c r="M386" s="184">
        <f>+ROUND(K386*L386,2)</f>
        <v>31.25</v>
      </c>
      <c r="N386" s="205"/>
    </row>
    <row r="387" spans="1:15" s="24" customFormat="1" x14ac:dyDescent="0.35">
      <c r="A387" s="154"/>
      <c r="B387" s="37"/>
      <c r="C387" s="156"/>
      <c r="D387" s="37"/>
      <c r="E387" s="38"/>
      <c r="F387" s="184"/>
      <c r="G387" s="141"/>
      <c r="H387" s="184"/>
      <c r="I387" s="37"/>
      <c r="J387" s="39"/>
      <c r="K387" s="184"/>
      <c r="L387" s="198"/>
      <c r="M387" s="184"/>
      <c r="N387" s="205"/>
    </row>
    <row r="388" spans="1:15" ht="64.5" customHeight="1" x14ac:dyDescent="0.35">
      <c r="A388" s="149" t="str">
        <f>PO_CPE!A221</f>
        <v>2.14.12</v>
      </c>
      <c r="B388" s="539" t="str">
        <f>PO_CPE!D221</f>
        <v>DIFUSOR QUADRADO 4 VIAS EM ALUMÍNIO ANODIZADO C/ CAPTOR DE ACIONAMENTO MANUAL REF. T9 (694x694)mm MOD. DQE-41, TROPICAL OU EQUIVALENTE</v>
      </c>
      <c r="C388" s="384" t="str">
        <f>PO_CPE!E221</f>
        <v>UNID.</v>
      </c>
      <c r="D388" s="151"/>
      <c r="E388" s="69"/>
      <c r="F388" s="185"/>
      <c r="G388" s="140"/>
      <c r="H388" s="187">
        <f>+SUM(H389:H391)</f>
        <v>1171.3010400000001</v>
      </c>
      <c r="I388" s="182"/>
      <c r="J388" s="183"/>
      <c r="K388" s="187"/>
      <c r="L388" s="197"/>
      <c r="M388" s="187">
        <f>SUM(M389:M390)</f>
        <v>65.89</v>
      </c>
      <c r="N388" s="202">
        <f>+IF(A388&gt;0,SUM(H388:M388),0)</f>
        <v>1237.1910400000002</v>
      </c>
      <c r="O388" s="251"/>
    </row>
    <row r="389" spans="1:15" s="14" customFormat="1" ht="108" x14ac:dyDescent="0.3">
      <c r="A389" s="154"/>
      <c r="B389" s="153"/>
      <c r="C389" s="155"/>
      <c r="D389" s="37" t="s">
        <v>829</v>
      </c>
      <c r="E389" s="38" t="str">
        <f>+VLOOKUP(D389,Insumos_MAT!$B$8:$G$16489,2,0)</f>
        <v>UNID.</v>
      </c>
      <c r="F389" s="184">
        <f>+VLOOKUP(D389,Insumos_MAT!$B$8:$G$16489,6,0)</f>
        <v>887.12400000000002</v>
      </c>
      <c r="G389" s="141">
        <v>1</v>
      </c>
      <c r="H389" s="184">
        <f>F389*G389</f>
        <v>887.12400000000002</v>
      </c>
      <c r="I389" s="37" t="s">
        <v>587</v>
      </c>
      <c r="J389" s="39" t="str">
        <f>+VLOOKUP(I389,Insumos_MO!$B$8:$F$3741,2,0)</f>
        <v>H</v>
      </c>
      <c r="K389" s="184">
        <f>+VLOOKUP(I389,Insumos_MO!$B$8:$G$18183,5,0)</f>
        <v>23.09</v>
      </c>
      <c r="L389" s="198">
        <v>1.5</v>
      </c>
      <c r="M389" s="184">
        <f>+ROUND(K389*L389,2)</f>
        <v>34.64</v>
      </c>
      <c r="N389" s="203"/>
    </row>
    <row r="390" spans="1:15" s="24" customFormat="1" ht="54" x14ac:dyDescent="0.35">
      <c r="A390" s="154"/>
      <c r="B390" s="37"/>
      <c r="C390" s="156"/>
      <c r="D390" s="37" t="s">
        <v>916</v>
      </c>
      <c r="E390" s="38" t="str">
        <f>+VLOOKUP(D390,Insumos_MAT!$B$8:$G$16489,2,0)</f>
        <v>UNID.</v>
      </c>
      <c r="F390" s="184">
        <f>+VLOOKUP(D390,Insumos_MAT!$B$8:$G$16489,6,0)</f>
        <v>284.17703999999998</v>
      </c>
      <c r="G390" s="141">
        <v>1</v>
      </c>
      <c r="H390" s="184">
        <f>F390*G390</f>
        <v>284.17703999999998</v>
      </c>
      <c r="I390" s="37" t="s">
        <v>589</v>
      </c>
      <c r="J390" s="39" t="str">
        <f>+VLOOKUP(I390,Insumos_MO!$B$8:$F$3741,2,0)</f>
        <v>H</v>
      </c>
      <c r="K390" s="184">
        <f>+VLOOKUP(I390,Insumos_MO!$B$8:$G$18183,5,0)</f>
        <v>20.83</v>
      </c>
      <c r="L390" s="198">
        <v>1.5</v>
      </c>
      <c r="M390" s="184">
        <f>+ROUND(K390*L390,2)</f>
        <v>31.25</v>
      </c>
      <c r="N390" s="205"/>
    </row>
    <row r="391" spans="1:15" s="24" customFormat="1" x14ac:dyDescent="0.35">
      <c r="A391" s="154"/>
      <c r="B391" s="37"/>
      <c r="C391" s="156"/>
      <c r="D391" s="37"/>
      <c r="E391" s="38"/>
      <c r="F391" s="184"/>
      <c r="G391" s="141"/>
      <c r="H391" s="184"/>
      <c r="I391" s="37"/>
      <c r="J391" s="39"/>
      <c r="K391" s="184"/>
      <c r="L391" s="198"/>
      <c r="M391" s="184"/>
      <c r="N391" s="205"/>
    </row>
    <row r="392" spans="1:15" ht="64.5" customHeight="1" x14ac:dyDescent="0.35">
      <c r="A392" s="149" t="str">
        <f>PO_CPE!A222</f>
        <v>2.14.13</v>
      </c>
      <c r="B392" s="539" t="str">
        <f>PO_CPE!D222</f>
        <v>DIFUSOR QUADRADO 4 VIAS EM ALUMÍNIO ANODIZADO C/ CAPTOR DE ACIONAMENTO MANUAL REF. T7 (598x598)mm MOD. DQE-41, TROPICAL OU EQUIVALENTE</v>
      </c>
      <c r="C392" s="384" t="str">
        <f>PO_CPE!E222</f>
        <v>UNID.</v>
      </c>
      <c r="D392" s="151"/>
      <c r="E392" s="69"/>
      <c r="F392" s="185"/>
      <c r="G392" s="140"/>
      <c r="H392" s="187">
        <f>+SUM(H393:H395)</f>
        <v>882.24234000000001</v>
      </c>
      <c r="I392" s="182"/>
      <c r="J392" s="183"/>
      <c r="K392" s="187"/>
      <c r="L392" s="197"/>
      <c r="M392" s="187">
        <f>SUM(M393:M394)</f>
        <v>65.89</v>
      </c>
      <c r="N392" s="202">
        <f>+IF(A392&gt;0,SUM(H392:M392),0)</f>
        <v>948.13234</v>
      </c>
      <c r="O392" s="251"/>
    </row>
    <row r="393" spans="1:15" s="14" customFormat="1" ht="108" x14ac:dyDescent="0.3">
      <c r="A393" s="154"/>
      <c r="B393" s="153"/>
      <c r="C393" s="155"/>
      <c r="D393" s="37" t="s">
        <v>831</v>
      </c>
      <c r="E393" s="38" t="str">
        <f>+VLOOKUP(D393,Insumos_MAT!$B$8:$G$16489,2,0)</f>
        <v>UNID.</v>
      </c>
      <c r="F393" s="184">
        <f>+VLOOKUP(D393,Insumos_MAT!$B$8:$G$16489,6,0)</f>
        <v>649.23599999999999</v>
      </c>
      <c r="G393" s="141">
        <v>1</v>
      </c>
      <c r="H393" s="184">
        <f>F393*G393</f>
        <v>649.23599999999999</v>
      </c>
      <c r="I393" s="37" t="s">
        <v>587</v>
      </c>
      <c r="J393" s="39" t="str">
        <f>+VLOOKUP(I393,Insumos_MO!$B$8:$F$3741,2,0)</f>
        <v>H</v>
      </c>
      <c r="K393" s="184">
        <f>+VLOOKUP(I393,Insumos_MO!$B$8:$G$18183,5,0)</f>
        <v>23.09</v>
      </c>
      <c r="L393" s="198">
        <v>1.5</v>
      </c>
      <c r="M393" s="184">
        <f>+ROUND(K393*L393,2)</f>
        <v>34.64</v>
      </c>
      <c r="N393" s="203"/>
    </row>
    <row r="394" spans="1:15" s="24" customFormat="1" ht="54" x14ac:dyDescent="0.35">
      <c r="A394" s="154"/>
      <c r="B394" s="37"/>
      <c r="C394" s="156"/>
      <c r="D394" s="37" t="s">
        <v>914</v>
      </c>
      <c r="E394" s="38" t="str">
        <f>+VLOOKUP(D394,Insumos_MAT!$B$8:$G$16489,2,0)</f>
        <v>UNID.</v>
      </c>
      <c r="F394" s="184">
        <f>+VLOOKUP(D394,Insumos_MAT!$B$8:$G$16489,6,0)</f>
        <v>233.00633999999999</v>
      </c>
      <c r="G394" s="141">
        <v>1</v>
      </c>
      <c r="H394" s="184">
        <f>F394*G394</f>
        <v>233.00633999999999</v>
      </c>
      <c r="I394" s="37" t="s">
        <v>589</v>
      </c>
      <c r="J394" s="39" t="str">
        <f>+VLOOKUP(I394,Insumos_MO!$B$8:$F$3741,2,0)</f>
        <v>H</v>
      </c>
      <c r="K394" s="184">
        <f>+VLOOKUP(I394,Insumos_MO!$B$8:$G$18183,5,0)</f>
        <v>20.83</v>
      </c>
      <c r="L394" s="198">
        <v>1.5</v>
      </c>
      <c r="M394" s="184">
        <f>+ROUND(K394*L394,2)</f>
        <v>31.25</v>
      </c>
      <c r="N394" s="205"/>
    </row>
    <row r="395" spans="1:15" s="24" customFormat="1" x14ac:dyDescent="0.35">
      <c r="A395" s="154"/>
      <c r="B395" s="37"/>
      <c r="C395" s="156"/>
      <c r="D395" s="37"/>
      <c r="E395" s="38"/>
      <c r="F395" s="184"/>
      <c r="G395" s="141"/>
      <c r="H395" s="184"/>
      <c r="I395" s="37"/>
      <c r="J395" s="39"/>
      <c r="K395" s="184"/>
      <c r="L395" s="198"/>
      <c r="M395" s="184"/>
      <c r="N395" s="205"/>
    </row>
    <row r="396" spans="1:15" ht="64.5" customHeight="1" x14ac:dyDescent="0.35">
      <c r="A396" s="149" t="str">
        <f>PO_CPE!A223</f>
        <v>2.14.14</v>
      </c>
      <c r="B396" s="539" t="str">
        <f>PO_CPE!D223</f>
        <v>DIFUSOR QUADRADO 4 VIAS EM ALUMÍNIO ANODIZADO C/ CAPTOR DE ACIONAMENTO MANUAL REF. T3 (356x356)mm MOD. DQE-41, TROPICAL OU EQUIVALENTE</v>
      </c>
      <c r="C396" s="384" t="str">
        <f>PO_CPE!E223</f>
        <v>UNID.</v>
      </c>
      <c r="D396" s="151"/>
      <c r="E396" s="69"/>
      <c r="F396" s="185"/>
      <c r="G396" s="140"/>
      <c r="H396" s="187">
        <f>+SUM(H397:H399)</f>
        <v>353.92034999999998</v>
      </c>
      <c r="I396" s="182"/>
      <c r="J396" s="183"/>
      <c r="K396" s="187"/>
      <c r="L396" s="197"/>
      <c r="M396" s="187">
        <f>SUM(M397:M398)</f>
        <v>65.89</v>
      </c>
      <c r="N396" s="202">
        <f>+IF(A396&gt;0,SUM(H396:M396),0)</f>
        <v>419.81034999999997</v>
      </c>
      <c r="O396" s="251"/>
    </row>
    <row r="397" spans="1:15" s="14" customFormat="1" ht="108" x14ac:dyDescent="0.3">
      <c r="A397" s="154"/>
      <c r="B397" s="153"/>
      <c r="C397" s="155"/>
      <c r="D397" s="37" t="s">
        <v>832</v>
      </c>
      <c r="E397" s="38" t="str">
        <f>+VLOOKUP(D397,Insumos_MAT!$B$8:$G$16489,2,0)</f>
        <v>UNID.</v>
      </c>
      <c r="F397" s="184">
        <f>+VLOOKUP(D397,Insumos_MAT!$B$8:$G$16489,6,0)</f>
        <v>232.93199999999999</v>
      </c>
      <c r="G397" s="141">
        <v>1</v>
      </c>
      <c r="H397" s="184">
        <f>F397*G397</f>
        <v>232.93199999999999</v>
      </c>
      <c r="I397" s="37" t="s">
        <v>587</v>
      </c>
      <c r="J397" s="39" t="str">
        <f>+VLOOKUP(I397,Insumos_MO!$B$8:$F$3741,2,0)</f>
        <v>H</v>
      </c>
      <c r="K397" s="184">
        <f>+VLOOKUP(I397,Insumos_MO!$B$8:$G$18183,5,0)</f>
        <v>23.09</v>
      </c>
      <c r="L397" s="198">
        <v>1.5</v>
      </c>
      <c r="M397" s="184">
        <f>+ROUND(K397*L397,2)</f>
        <v>34.64</v>
      </c>
      <c r="N397" s="203"/>
    </row>
    <row r="398" spans="1:15" s="24" customFormat="1" ht="54" x14ac:dyDescent="0.35">
      <c r="A398" s="154"/>
      <c r="B398" s="37"/>
      <c r="C398" s="156"/>
      <c r="D398" s="37" t="s">
        <v>917</v>
      </c>
      <c r="E398" s="38" t="str">
        <f>+VLOOKUP(D398,Insumos_MAT!$B$8:$G$16489,2,0)</f>
        <v>UNID.</v>
      </c>
      <c r="F398" s="184">
        <f>+VLOOKUP(D398,Insumos_MAT!$B$8:$G$16489,6,0)</f>
        <v>120.98835000000001</v>
      </c>
      <c r="G398" s="141">
        <v>1</v>
      </c>
      <c r="H398" s="184">
        <f>F398*G398</f>
        <v>120.98835000000001</v>
      </c>
      <c r="I398" s="37" t="s">
        <v>589</v>
      </c>
      <c r="J398" s="39" t="str">
        <f>+VLOOKUP(I398,Insumos_MO!$B$8:$F$3741,2,0)</f>
        <v>H</v>
      </c>
      <c r="K398" s="184">
        <f>+VLOOKUP(I398,Insumos_MO!$B$8:$G$18183,5,0)</f>
        <v>20.83</v>
      </c>
      <c r="L398" s="198">
        <v>1.5</v>
      </c>
      <c r="M398" s="184">
        <f>+ROUND(K398*L398,2)</f>
        <v>31.25</v>
      </c>
      <c r="N398" s="205"/>
    </row>
    <row r="399" spans="1:15" s="24" customFormat="1" x14ac:dyDescent="0.35">
      <c r="A399" s="154"/>
      <c r="B399" s="37"/>
      <c r="C399" s="156"/>
      <c r="D399" s="37"/>
      <c r="E399" s="38"/>
      <c r="F399" s="184"/>
      <c r="G399" s="141"/>
      <c r="H399" s="184"/>
      <c r="I399" s="37"/>
      <c r="J399" s="39"/>
      <c r="K399" s="184"/>
      <c r="L399" s="198"/>
      <c r="M399" s="184"/>
      <c r="N399" s="205"/>
    </row>
    <row r="400" spans="1:15" ht="45" customHeight="1" x14ac:dyDescent="0.35">
      <c r="A400" s="149" t="str">
        <f>PO_CPE!A216</f>
        <v>2.14.7</v>
      </c>
      <c r="B400" s="539" t="str">
        <f>PO_CPE!D216</f>
        <v>GRELHA DE RETORNO QUADRADA P/ PORTA EM ALUMÍNIO ANODIZADO REF. MOD. GR (500x500)mm, TROPICAL OU EQUIVALENTE</v>
      </c>
      <c r="C400" s="384" t="str">
        <f>PO_CPE!E216</f>
        <v>UNID.</v>
      </c>
      <c r="D400" s="151"/>
      <c r="E400" s="69"/>
      <c r="F400" s="185"/>
      <c r="G400" s="140"/>
      <c r="H400" s="187">
        <f>+SUM(H401:H403)</f>
        <v>412.59</v>
      </c>
      <c r="I400" s="182"/>
      <c r="J400" s="183"/>
      <c r="K400" s="187"/>
      <c r="L400" s="197"/>
      <c r="M400" s="187">
        <f>SUM(M401:M402)</f>
        <v>30.740000000000002</v>
      </c>
      <c r="N400" s="202">
        <f>+IF(A400&gt;0,SUM(H400:M400),0)</f>
        <v>443.33</v>
      </c>
      <c r="O400" s="251"/>
    </row>
    <row r="401" spans="1:15" s="14" customFormat="1" ht="94.5" x14ac:dyDescent="0.3">
      <c r="A401" s="154"/>
      <c r="B401" s="153"/>
      <c r="C401" s="155"/>
      <c r="D401" s="37" t="s">
        <v>511</v>
      </c>
      <c r="E401" s="38" t="str">
        <f>+VLOOKUP(D401,Insumos_MAT!$B$8:$G$16489,2,0)</f>
        <v>UNID.</v>
      </c>
      <c r="F401" s="184">
        <f>+VLOOKUP(D401,Insumos_MAT!$B$8:$G$16489,6,0)</f>
        <v>412.59</v>
      </c>
      <c r="G401" s="141">
        <v>1</v>
      </c>
      <c r="H401" s="184">
        <f>F401*G401</f>
        <v>412.59</v>
      </c>
      <c r="I401" s="37" t="s">
        <v>587</v>
      </c>
      <c r="J401" s="39" t="str">
        <f>+VLOOKUP(I401,Insumos_MO!$B$8:$F$3741,2,0)</f>
        <v>H</v>
      </c>
      <c r="K401" s="184">
        <f>+VLOOKUP(I401,Insumos_MO!$B$8:$G$18183,5,0)</f>
        <v>23.09</v>
      </c>
      <c r="L401" s="198">
        <v>0.7</v>
      </c>
      <c r="M401" s="184">
        <f>+ROUND(K401*L401,2)</f>
        <v>16.16</v>
      </c>
      <c r="N401" s="203"/>
    </row>
    <row r="402" spans="1:15" s="24" customFormat="1" ht="54" x14ac:dyDescent="0.35">
      <c r="A402" s="154"/>
      <c r="B402" s="37"/>
      <c r="C402" s="156"/>
      <c r="D402" s="37"/>
      <c r="E402" s="38"/>
      <c r="F402" s="184"/>
      <c r="G402" s="141"/>
      <c r="H402" s="184"/>
      <c r="I402" s="37" t="s">
        <v>589</v>
      </c>
      <c r="J402" s="39" t="str">
        <f>+VLOOKUP(I402,Insumos_MO!$B$8:$F$3741,2,0)</f>
        <v>H</v>
      </c>
      <c r="K402" s="184">
        <f>+VLOOKUP(I402,Insumos_MO!$B$8:$G$18183,5,0)</f>
        <v>20.83</v>
      </c>
      <c r="L402" s="198">
        <v>0.7</v>
      </c>
      <c r="M402" s="184">
        <f>+ROUND(K402*L402,2)</f>
        <v>14.58</v>
      </c>
      <c r="N402" s="205"/>
    </row>
    <row r="403" spans="1:15" s="24" customFormat="1" x14ac:dyDescent="0.35">
      <c r="A403" s="154"/>
      <c r="B403" s="37"/>
      <c r="C403" s="156"/>
      <c r="D403" s="37"/>
      <c r="E403" s="38"/>
      <c r="F403" s="184"/>
      <c r="G403" s="141"/>
      <c r="H403" s="184"/>
      <c r="I403" s="37"/>
      <c r="J403" s="39"/>
      <c r="K403" s="184"/>
      <c r="L403" s="198"/>
      <c r="M403" s="184"/>
      <c r="N403" s="205"/>
    </row>
    <row r="404" spans="1:15" ht="64.5" customHeight="1" x14ac:dyDescent="0.35">
      <c r="A404" s="149" t="str">
        <f>PO_CPE!A217</f>
        <v>2.14.8</v>
      </c>
      <c r="B404" s="539" t="str">
        <f>PO_CPE!D217</f>
        <v>DIFUSOR QUADRADO 4 VIAS EM ALUMÍNIO ANODIZADO C/ CAPTOR DE ACIONAMENTO MANUAL REF. T5 (468x468)mm MOD. DQE-41, TROPICAL OU EQUIVALENTE</v>
      </c>
      <c r="C404" s="384" t="str">
        <f>PO_CPE!E217</f>
        <v>UNID.</v>
      </c>
      <c r="D404" s="151"/>
      <c r="E404" s="69"/>
      <c r="F404" s="185"/>
      <c r="G404" s="140"/>
      <c r="H404" s="187">
        <f>+SUM(H405:H407)</f>
        <v>573.02499999999998</v>
      </c>
      <c r="I404" s="182"/>
      <c r="J404" s="183"/>
      <c r="K404" s="187"/>
      <c r="L404" s="197"/>
      <c r="M404" s="187">
        <f>SUM(M405:M406)</f>
        <v>65.89</v>
      </c>
      <c r="N404" s="202">
        <f>+IF(A404&gt;0,SUM(H404:M404),0)</f>
        <v>638.91499999999996</v>
      </c>
      <c r="O404" s="251"/>
    </row>
    <row r="405" spans="1:15" s="14" customFormat="1" ht="108" x14ac:dyDescent="0.3">
      <c r="A405" s="154"/>
      <c r="B405" s="153"/>
      <c r="C405" s="155"/>
      <c r="D405" s="37" t="s">
        <v>512</v>
      </c>
      <c r="E405" s="38" t="str">
        <f>+VLOOKUP(D405,Insumos_MAT!$B$8:$G$16489,2,0)</f>
        <v>UNID.</v>
      </c>
      <c r="F405" s="184">
        <f>+VLOOKUP(D405,Insumos_MAT!$B$8:$G$16489,6,0)</f>
        <v>402.67500000000001</v>
      </c>
      <c r="G405" s="141">
        <v>1</v>
      </c>
      <c r="H405" s="184">
        <f>F405*G405</f>
        <v>402.67500000000001</v>
      </c>
      <c r="I405" s="37" t="s">
        <v>587</v>
      </c>
      <c r="J405" s="39" t="str">
        <f>+VLOOKUP(I405,Insumos_MO!$B$8:$F$3741,2,0)</f>
        <v>H</v>
      </c>
      <c r="K405" s="184">
        <f>+VLOOKUP(I405,Insumos_MO!$B$8:$G$18183,5,0)</f>
        <v>23.09</v>
      </c>
      <c r="L405" s="198">
        <v>1.5</v>
      </c>
      <c r="M405" s="184">
        <f>+ROUND(K405*L405,2)</f>
        <v>34.64</v>
      </c>
      <c r="N405" s="203"/>
    </row>
    <row r="406" spans="1:15" s="24" customFormat="1" ht="54" x14ac:dyDescent="0.35">
      <c r="A406" s="154"/>
      <c r="B406" s="37"/>
      <c r="C406" s="156"/>
      <c r="D406" s="37" t="s">
        <v>598</v>
      </c>
      <c r="E406" s="38" t="str">
        <f>+VLOOKUP(D406,Insumos_MAT!$B$8:$G$16489,2,0)</f>
        <v>UNID.</v>
      </c>
      <c r="F406" s="184">
        <f>+VLOOKUP(D406,Insumos_MAT!$B$8:$G$16489,6,0)</f>
        <v>170.35</v>
      </c>
      <c r="G406" s="141">
        <v>1</v>
      </c>
      <c r="H406" s="184">
        <f>F406*G406</f>
        <v>170.35</v>
      </c>
      <c r="I406" s="37" t="s">
        <v>589</v>
      </c>
      <c r="J406" s="39" t="str">
        <f>+VLOOKUP(I406,Insumos_MO!$B$8:$F$3741,2,0)</f>
        <v>H</v>
      </c>
      <c r="K406" s="184">
        <f>+VLOOKUP(I406,Insumos_MO!$B$8:$G$18183,5,0)</f>
        <v>20.83</v>
      </c>
      <c r="L406" s="198">
        <v>1.5</v>
      </c>
      <c r="M406" s="184">
        <f>+ROUND(K406*L406,2)</f>
        <v>31.25</v>
      </c>
      <c r="N406" s="205"/>
    </row>
    <row r="407" spans="1:15" s="24" customFormat="1" x14ac:dyDescent="0.35">
      <c r="A407" s="154"/>
      <c r="B407" s="37"/>
      <c r="C407" s="156"/>
      <c r="D407" s="37"/>
      <c r="E407" s="38"/>
      <c r="F407" s="184"/>
      <c r="G407" s="141"/>
      <c r="H407" s="184"/>
      <c r="I407" s="37"/>
      <c r="J407" s="39"/>
      <c r="K407" s="184"/>
      <c r="L407" s="198"/>
      <c r="M407" s="184"/>
      <c r="N407" s="205"/>
    </row>
    <row r="408" spans="1:15" ht="64.5" customHeight="1" x14ac:dyDescent="0.35">
      <c r="A408" s="149" t="str">
        <f>PO_CPE!A220</f>
        <v>2.14.11</v>
      </c>
      <c r="B408" s="539" t="str">
        <f>PO_CPE!D220</f>
        <v>DIFUSOR QUADRADO 3 VIAS EM ALUMÍNIO ANODIZADO C/ CAPTOR DE ACIONAMENTO MANUAL REF. T5 (468x468)mm MOD. DQE-31, TROPICAL OU EQUIVALENTE</v>
      </c>
      <c r="C408" s="384" t="str">
        <f>PO_CPE!E220</f>
        <v>UNID.</v>
      </c>
      <c r="D408" s="151"/>
      <c r="E408" s="69"/>
      <c r="F408" s="185"/>
      <c r="G408" s="140"/>
      <c r="H408" s="187">
        <f>+SUM(H409:H411)</f>
        <v>573.02499999999998</v>
      </c>
      <c r="I408" s="182"/>
      <c r="J408" s="183"/>
      <c r="K408" s="187"/>
      <c r="L408" s="197"/>
      <c r="M408" s="187">
        <f>SUM(M409:M410)</f>
        <v>65.89</v>
      </c>
      <c r="N408" s="202">
        <f>+IF(A408&gt;0,SUM(H408:M408),0)</f>
        <v>638.91499999999996</v>
      </c>
      <c r="O408" s="251"/>
    </row>
    <row r="409" spans="1:15" s="14" customFormat="1" ht="108" x14ac:dyDescent="0.3">
      <c r="A409" s="154"/>
      <c r="B409" s="153"/>
      <c r="C409" s="155"/>
      <c r="D409" s="37" t="s">
        <v>513</v>
      </c>
      <c r="E409" s="38" t="str">
        <f>+VLOOKUP(D409,Insumos_MAT!$B$8:$G$16489,2,0)</f>
        <v>UNID.</v>
      </c>
      <c r="F409" s="184">
        <f>+VLOOKUP(D409,Insumos_MAT!$B$8:$G$16489,6,0)</f>
        <v>402.67500000000001</v>
      </c>
      <c r="G409" s="141">
        <v>1</v>
      </c>
      <c r="H409" s="184">
        <f>F409*G409</f>
        <v>402.67500000000001</v>
      </c>
      <c r="I409" s="37" t="s">
        <v>587</v>
      </c>
      <c r="J409" s="39" t="str">
        <f>+VLOOKUP(I409,Insumos_MO!$B$8:$F$3741,2,0)</f>
        <v>H</v>
      </c>
      <c r="K409" s="184">
        <f>+VLOOKUP(I409,Insumos_MO!$B$8:$G$18183,5,0)</f>
        <v>23.09</v>
      </c>
      <c r="L409" s="198">
        <v>1.5</v>
      </c>
      <c r="M409" s="184">
        <f>+ROUND(K409*L409,2)</f>
        <v>34.64</v>
      </c>
      <c r="N409" s="203"/>
    </row>
    <row r="410" spans="1:15" s="24" customFormat="1" ht="54" x14ac:dyDescent="0.35">
      <c r="A410" s="154"/>
      <c r="B410" s="37"/>
      <c r="C410" s="156"/>
      <c r="D410" s="37" t="s">
        <v>598</v>
      </c>
      <c r="E410" s="38" t="str">
        <f>+VLOOKUP(D410,Insumos_MAT!$B$8:$G$16489,2,0)</f>
        <v>UNID.</v>
      </c>
      <c r="F410" s="184">
        <f>+VLOOKUP(D410,Insumos_MAT!$B$8:$G$16489,6,0)</f>
        <v>170.35</v>
      </c>
      <c r="G410" s="141">
        <v>1</v>
      </c>
      <c r="H410" s="184">
        <f>F410*G410</f>
        <v>170.35</v>
      </c>
      <c r="I410" s="37" t="s">
        <v>589</v>
      </c>
      <c r="J410" s="39" t="str">
        <f>+VLOOKUP(I410,Insumos_MO!$B$8:$F$3741,2,0)</f>
        <v>H</v>
      </c>
      <c r="K410" s="184">
        <f>+VLOOKUP(I410,Insumos_MO!$B$8:$G$18183,5,0)</f>
        <v>20.83</v>
      </c>
      <c r="L410" s="198">
        <v>1.5</v>
      </c>
      <c r="M410" s="184">
        <f>+ROUND(K410*L410,2)</f>
        <v>31.25</v>
      </c>
      <c r="N410" s="205"/>
    </row>
    <row r="411" spans="1:15" s="24" customFormat="1" x14ac:dyDescent="0.35">
      <c r="A411" s="154"/>
      <c r="B411" s="37"/>
      <c r="C411" s="156"/>
      <c r="D411" s="37"/>
      <c r="E411" s="38"/>
      <c r="F411" s="184"/>
      <c r="G411" s="141"/>
      <c r="H411" s="184"/>
      <c r="I411" s="37"/>
      <c r="J411" s="39"/>
      <c r="K411" s="184"/>
      <c r="L411" s="198"/>
      <c r="M411" s="184"/>
      <c r="N411" s="205"/>
    </row>
    <row r="412" spans="1:15" ht="68.25" x14ac:dyDescent="0.35">
      <c r="A412" s="149" t="str">
        <f>PO_CPE!A224</f>
        <v>2.14.15</v>
      </c>
      <c r="B412" s="539" t="str">
        <f>PO_CPE!D224</f>
        <v>GRELHA DE RETORNO RETANGULAR P/ FORRO EM ALUMÍNIO ANODIZADO COR DEFINIR EM OBRA
REF.: MOD. RHN (1200x500), TROPICAL OU EQUIVALENTE</v>
      </c>
      <c r="C412" s="384" t="str">
        <f>PO_CPE!E224</f>
        <v>UNID.</v>
      </c>
      <c r="D412" s="151"/>
      <c r="E412" s="69"/>
      <c r="F412" s="185"/>
      <c r="G412" s="140"/>
      <c r="H412" s="187">
        <f>+SUM(H413:H415)</f>
        <v>433.65</v>
      </c>
      <c r="I412" s="182"/>
      <c r="J412" s="183"/>
      <c r="K412" s="187"/>
      <c r="L412" s="197"/>
      <c r="M412" s="187">
        <f>SUM(M413:M414)</f>
        <v>52.71</v>
      </c>
      <c r="N412" s="202">
        <f>+IF(A412&gt;0,SUM(H412:M412),0)</f>
        <v>486.35999999999996</v>
      </c>
      <c r="O412" s="251"/>
    </row>
    <row r="413" spans="1:15" s="14" customFormat="1" ht="94.5" x14ac:dyDescent="0.3">
      <c r="A413" s="154"/>
      <c r="B413" s="153"/>
      <c r="C413" s="155"/>
      <c r="D413" s="37" t="s">
        <v>935</v>
      </c>
      <c r="E413" s="38" t="str">
        <f>+VLOOKUP(D413,Insumos_MAT!$B$8:$G$16489,2,0)</f>
        <v>UNID.</v>
      </c>
      <c r="F413" s="184">
        <f>+VLOOKUP(D413,Insumos_MAT!$B$8:$G$16489,6,0)</f>
        <v>433.65</v>
      </c>
      <c r="G413" s="141">
        <v>1</v>
      </c>
      <c r="H413" s="184">
        <f>F413*G413</f>
        <v>433.65</v>
      </c>
      <c r="I413" s="37" t="s">
        <v>587</v>
      </c>
      <c r="J413" s="39" t="str">
        <f>+VLOOKUP(I413,Insumos_MO!$B$8:$F$3741,2,0)</f>
        <v>H</v>
      </c>
      <c r="K413" s="184">
        <f>+VLOOKUP(I413,Insumos_MO!$B$8:$G$18183,5,0)</f>
        <v>23.09</v>
      </c>
      <c r="L413" s="198">
        <v>1.2</v>
      </c>
      <c r="M413" s="184">
        <f>+ROUND(K413*L413,2)</f>
        <v>27.71</v>
      </c>
      <c r="N413" s="203"/>
    </row>
    <row r="414" spans="1:15" s="24" customFormat="1" ht="54" x14ac:dyDescent="0.35">
      <c r="A414" s="154"/>
      <c r="B414" s="37"/>
      <c r="C414" s="156"/>
      <c r="D414" s="37"/>
      <c r="E414" s="38"/>
      <c r="F414" s="184"/>
      <c r="G414" s="141"/>
      <c r="H414" s="184"/>
      <c r="I414" s="37" t="s">
        <v>589</v>
      </c>
      <c r="J414" s="39" t="str">
        <f>+VLOOKUP(I414,Insumos_MO!$B$8:$F$3741,2,0)</f>
        <v>H</v>
      </c>
      <c r="K414" s="184">
        <f>+VLOOKUP(I414,Insumos_MO!$B$8:$G$18183,5,0)</f>
        <v>20.83</v>
      </c>
      <c r="L414" s="198">
        <v>1.2</v>
      </c>
      <c r="M414" s="184">
        <f>+ROUND(K414*L414,2)</f>
        <v>25</v>
      </c>
      <c r="N414" s="205"/>
    </row>
    <row r="415" spans="1:15" s="24" customFormat="1" x14ac:dyDescent="0.35">
      <c r="A415" s="154"/>
      <c r="B415" s="37"/>
      <c r="C415" s="156"/>
      <c r="D415" s="37"/>
      <c r="E415" s="38"/>
      <c r="F415" s="184"/>
      <c r="G415" s="141"/>
      <c r="H415" s="184"/>
      <c r="I415" s="37"/>
      <c r="J415" s="39"/>
      <c r="K415" s="184"/>
      <c r="L415" s="198"/>
      <c r="M415" s="184"/>
      <c r="N415" s="205"/>
    </row>
    <row r="416" spans="1:15" ht="68.25" x14ac:dyDescent="0.35">
      <c r="A416" s="149" t="str">
        <f>PO_CPE!A225</f>
        <v>2.14.16</v>
      </c>
      <c r="B416" s="539" t="str">
        <f>PO_CPE!D225</f>
        <v>GRELHA DE RETORNO RETANGULAR P/ FORRO EM ALUMÍNIO ANODIZADO COR DEFINIR EM OBRA
REF.: MOD. RHN (1000x500), TROPICAL OU EQUIVALENTE</v>
      </c>
      <c r="C416" s="384" t="str">
        <f>PO_CPE!E225</f>
        <v>UNID.</v>
      </c>
      <c r="D416" s="151"/>
      <c r="E416" s="69"/>
      <c r="F416" s="185"/>
      <c r="G416" s="140"/>
      <c r="H416" s="187">
        <f>+SUM(H417:H419)</f>
        <v>366.74399999999997</v>
      </c>
      <c r="I416" s="182"/>
      <c r="J416" s="183"/>
      <c r="K416" s="187"/>
      <c r="L416" s="197"/>
      <c r="M416" s="187">
        <f>SUM(M417:M418)</f>
        <v>52.71</v>
      </c>
      <c r="N416" s="202">
        <f>+IF(A416&gt;0,SUM(H416:M416),0)</f>
        <v>419.45399999999995</v>
      </c>
      <c r="O416" s="251"/>
    </row>
    <row r="417" spans="1:16" s="14" customFormat="1" ht="94.5" x14ac:dyDescent="0.3">
      <c r="A417" s="154"/>
      <c r="B417" s="153"/>
      <c r="C417" s="155"/>
      <c r="D417" s="37" t="s">
        <v>936</v>
      </c>
      <c r="E417" s="38" t="str">
        <f>+VLOOKUP(D417,Insumos_MAT!$B$8:$G$16489,2,0)</f>
        <v>UNID.</v>
      </c>
      <c r="F417" s="184">
        <f>+VLOOKUP(D417,Insumos_MAT!$B$8:$G$16489,6,0)</f>
        <v>366.74399999999997</v>
      </c>
      <c r="G417" s="141">
        <v>1</v>
      </c>
      <c r="H417" s="184">
        <f>F417*G417</f>
        <v>366.74399999999997</v>
      </c>
      <c r="I417" s="37" t="s">
        <v>587</v>
      </c>
      <c r="J417" s="39" t="str">
        <f>+VLOOKUP(I417,Insumos_MO!$B$8:$F$3741,2,0)</f>
        <v>H</v>
      </c>
      <c r="K417" s="184">
        <f>+VLOOKUP(I417,Insumos_MO!$B$8:$G$18183,5,0)</f>
        <v>23.09</v>
      </c>
      <c r="L417" s="198">
        <v>1.2</v>
      </c>
      <c r="M417" s="184">
        <f>+ROUND(K417*L417,2)</f>
        <v>27.71</v>
      </c>
      <c r="N417" s="203"/>
    </row>
    <row r="418" spans="1:16" s="24" customFormat="1" ht="54" x14ac:dyDescent="0.35">
      <c r="A418" s="154"/>
      <c r="B418" s="37"/>
      <c r="C418" s="156"/>
      <c r="D418" s="37"/>
      <c r="E418" s="38"/>
      <c r="F418" s="184"/>
      <c r="G418" s="141"/>
      <c r="H418" s="184"/>
      <c r="I418" s="37" t="s">
        <v>589</v>
      </c>
      <c r="J418" s="39" t="str">
        <f>+VLOOKUP(I418,Insumos_MO!$B$8:$F$3741,2,0)</f>
        <v>H</v>
      </c>
      <c r="K418" s="184">
        <f>+VLOOKUP(I418,Insumos_MO!$B$8:$G$18183,5,0)</f>
        <v>20.83</v>
      </c>
      <c r="L418" s="198">
        <v>1.2</v>
      </c>
      <c r="M418" s="184">
        <f>+ROUND(K418*L418,2)</f>
        <v>25</v>
      </c>
      <c r="N418" s="205"/>
    </row>
    <row r="419" spans="1:16" s="24" customFormat="1" x14ac:dyDescent="0.35">
      <c r="A419" s="154"/>
      <c r="B419" s="37"/>
      <c r="C419" s="156"/>
      <c r="D419" s="37"/>
      <c r="E419" s="38"/>
      <c r="F419" s="184"/>
      <c r="G419" s="141"/>
      <c r="H419" s="184"/>
      <c r="I419" s="37"/>
      <c r="J419" s="39"/>
      <c r="K419" s="184"/>
      <c r="L419" s="198"/>
      <c r="M419" s="184"/>
      <c r="N419" s="205"/>
    </row>
    <row r="420" spans="1:16" ht="44.25" customHeight="1" x14ac:dyDescent="0.35">
      <c r="A420" s="149" t="str">
        <f>PO_CPE!A226</f>
        <v>2.14.17</v>
      </c>
      <c r="B420" s="41" t="str">
        <f>PO_CPE!D226</f>
        <v xml:space="preserve">GRELHA DE RETORNO RHN 500X400 - 1 VIAS </v>
      </c>
      <c r="C420" s="384" t="str">
        <f>PO_CPE!E226</f>
        <v>UNID.</v>
      </c>
      <c r="D420" s="151"/>
      <c r="E420" s="69"/>
      <c r="F420" s="185"/>
      <c r="G420" s="140"/>
      <c r="H420" s="187">
        <f>+SUM(H421:H422)</f>
        <v>168.50399999999999</v>
      </c>
      <c r="I420" s="182"/>
      <c r="J420" s="183"/>
      <c r="K420" s="187"/>
      <c r="L420" s="197"/>
      <c r="M420" s="187">
        <f>SUM(M421:M422)</f>
        <v>26.35</v>
      </c>
      <c r="N420" s="202">
        <f>+IF(A420&gt;0,SUM(H420:M420),0)</f>
        <v>194.85399999999998</v>
      </c>
    </row>
    <row r="421" spans="1:16" s="15" customFormat="1" ht="54" x14ac:dyDescent="0.35">
      <c r="A421" s="154"/>
      <c r="B421" s="41"/>
      <c r="C421" s="152"/>
      <c r="D421" s="37" t="str">
        <f>B420</f>
        <v xml:space="preserve">GRELHA DE RETORNO RHN 500X400 - 1 VIAS </v>
      </c>
      <c r="E421" s="38" t="str">
        <f>+VLOOKUP(D421,Insumos_MAT!$B$8:$G$16489,2,0)</f>
        <v>UNID.</v>
      </c>
      <c r="F421" s="184">
        <f>+VLOOKUP(D421,Insumos_MAT!$B$8:$G$16489,6,0)</f>
        <v>168.50399999999999</v>
      </c>
      <c r="G421" s="141">
        <v>1</v>
      </c>
      <c r="H421" s="184">
        <f>F421*G421</f>
        <v>168.50399999999999</v>
      </c>
      <c r="I421" s="37" t="s">
        <v>587</v>
      </c>
      <c r="J421" s="39" t="str">
        <f>+VLOOKUP(I421,Insumos_MO!$B$8:$F$3741,2,0)</f>
        <v>H</v>
      </c>
      <c r="K421" s="184">
        <f>+VLOOKUP(I421,Insumos_MO!$B$8:$G$18183,5,0)</f>
        <v>23.09</v>
      </c>
      <c r="L421" s="198">
        <v>0.6</v>
      </c>
      <c r="M421" s="184">
        <f>+ROUND(K421*L421,2)</f>
        <v>13.85</v>
      </c>
      <c r="N421" s="205"/>
      <c r="O421" s="3"/>
      <c r="P421" s="24"/>
    </row>
    <row r="422" spans="1:16" s="15" customFormat="1" ht="54" x14ac:dyDescent="0.35">
      <c r="A422" s="149"/>
      <c r="B422" s="41"/>
      <c r="C422" s="150"/>
      <c r="D422" s="37"/>
      <c r="E422" s="38"/>
      <c r="F422" s="184"/>
      <c r="G422" s="141"/>
      <c r="H422" s="184"/>
      <c r="I422" s="37" t="s">
        <v>589</v>
      </c>
      <c r="J422" s="39" t="str">
        <f>+VLOOKUP(I422,Insumos_MO!$B$8:$F$3741,2,0)</f>
        <v>H</v>
      </c>
      <c r="K422" s="184">
        <f>+VLOOKUP(I422,Insumos_MO!$B$8:$G$18183,5,0)</f>
        <v>20.83</v>
      </c>
      <c r="L422" s="198">
        <v>0.6</v>
      </c>
      <c r="M422" s="184">
        <f>+ROUND(K422*L422,2)</f>
        <v>12.5</v>
      </c>
      <c r="N422" s="203"/>
      <c r="O422" s="3"/>
      <c r="P422" s="3"/>
    </row>
    <row r="423" spans="1:16" s="15" customFormat="1" x14ac:dyDescent="0.35">
      <c r="A423" s="149"/>
      <c r="B423" s="41"/>
      <c r="C423" s="150"/>
      <c r="D423" s="37"/>
      <c r="E423" s="38"/>
      <c r="F423" s="184"/>
      <c r="G423" s="141"/>
      <c r="H423" s="184"/>
      <c r="I423" s="151"/>
      <c r="J423" s="69"/>
      <c r="K423" s="185"/>
      <c r="L423" s="199"/>
      <c r="M423" s="185"/>
      <c r="N423" s="203"/>
      <c r="O423" s="3"/>
      <c r="P423" s="3"/>
    </row>
    <row r="424" spans="1:16" ht="44.25" customHeight="1" x14ac:dyDescent="0.35">
      <c r="A424" s="149" t="str">
        <f>PO_CPE!A227</f>
        <v>2.14.18</v>
      </c>
      <c r="B424" s="41" t="str">
        <f>PO_CPE!D227</f>
        <v>GABINETE DE VENTILAÇÃO GVS-SF 12/9 ARR.3 CL.I 1300rpm - 7.5hp 4POLOS 3F-220/380V-60Hz / VAZÃO 10.870M³/h / PRESSÃOESTÁTICA 300Pa - REF. OTAM OU EQUIVALENTE TÉCNICO</v>
      </c>
      <c r="C424" s="384" t="str">
        <f>PO_CPE!E227</f>
        <v>UNID.</v>
      </c>
      <c r="D424" s="151"/>
      <c r="E424" s="69"/>
      <c r="F424" s="185"/>
      <c r="G424" s="140"/>
      <c r="H424" s="187">
        <f>+SUM(H425:H426)</f>
        <v>16239.499500000002</v>
      </c>
      <c r="I424" s="182"/>
      <c r="J424" s="183"/>
      <c r="K424" s="187"/>
      <c r="L424" s="197"/>
      <c r="M424" s="187">
        <f>SUM(M425:M426)</f>
        <v>351.36</v>
      </c>
      <c r="N424" s="202">
        <f>+IF(A424&gt;0,SUM(H424:M424),0)</f>
        <v>16590.859500000002</v>
      </c>
    </row>
    <row r="425" spans="1:16" s="15" customFormat="1" ht="121.5" x14ac:dyDescent="0.35">
      <c r="A425" s="154"/>
      <c r="B425" s="41"/>
      <c r="C425" s="152"/>
      <c r="D425" s="37" t="str">
        <f>B424</f>
        <v>GABINETE DE VENTILAÇÃO GVS-SF 12/9 ARR.3 CL.I 1300rpm - 7.5hp 4POLOS 3F-220/380V-60Hz / VAZÃO 10.870M³/h / PRESSÃOESTÁTICA 300Pa - REF. OTAM OU EQUIVALENTE TÉCNICO</v>
      </c>
      <c r="E425" s="38" t="str">
        <f>+VLOOKUP(D425,Insumos_MAT!$B$8:$G$16489,2,0)</f>
        <v>UNID.</v>
      </c>
      <c r="F425" s="184">
        <f>+VLOOKUP(D425,Insumos_MAT!$B$8:$G$16489,6,0)</f>
        <v>16239.499500000002</v>
      </c>
      <c r="G425" s="141">
        <v>1</v>
      </c>
      <c r="H425" s="184">
        <f>F425*G425</f>
        <v>16239.499500000002</v>
      </c>
      <c r="I425" s="37" t="s">
        <v>587</v>
      </c>
      <c r="J425" s="39" t="str">
        <f>+VLOOKUP(I425,Insumos_MO!$B$8:$F$3741,2,0)</f>
        <v>H</v>
      </c>
      <c r="K425" s="184">
        <f>+VLOOKUP(I425,Insumos_MO!$B$8:$G$18183,5,0)</f>
        <v>23.09</v>
      </c>
      <c r="L425" s="198">
        <v>8</v>
      </c>
      <c r="M425" s="184">
        <f>+ROUND(K425*L425,2)</f>
        <v>184.72</v>
      </c>
      <c r="N425" s="205"/>
      <c r="O425" s="3"/>
      <c r="P425" s="24"/>
    </row>
    <row r="426" spans="1:16" s="15" customFormat="1" ht="54" x14ac:dyDescent="0.35">
      <c r="A426" s="149"/>
      <c r="B426" s="41"/>
      <c r="C426" s="150"/>
      <c r="D426" s="37"/>
      <c r="E426" s="38"/>
      <c r="F426" s="184"/>
      <c r="G426" s="141"/>
      <c r="H426" s="184"/>
      <c r="I426" s="37" t="s">
        <v>589</v>
      </c>
      <c r="J426" s="39" t="str">
        <f>+VLOOKUP(I426,Insumos_MO!$B$8:$F$3741,2,0)</f>
        <v>H</v>
      </c>
      <c r="K426" s="184">
        <f>+VLOOKUP(I426,Insumos_MO!$B$8:$G$18183,5,0)</f>
        <v>20.83</v>
      </c>
      <c r="L426" s="198">
        <v>8</v>
      </c>
      <c r="M426" s="184">
        <f>+ROUND(K426*L426,2)</f>
        <v>166.64</v>
      </c>
      <c r="N426" s="203"/>
      <c r="O426" s="3"/>
      <c r="P426" s="3"/>
    </row>
    <row r="427" spans="1:16" s="15" customFormat="1" x14ac:dyDescent="0.35">
      <c r="A427" s="149"/>
      <c r="B427" s="41"/>
      <c r="C427" s="150"/>
      <c r="D427" s="37"/>
      <c r="E427" s="38"/>
      <c r="F427" s="184"/>
      <c r="G427" s="141"/>
      <c r="H427" s="184"/>
      <c r="I427" s="151"/>
      <c r="J427" s="69"/>
      <c r="K427" s="185"/>
      <c r="L427" s="199"/>
      <c r="M427" s="185"/>
      <c r="N427" s="203"/>
      <c r="O427" s="3"/>
      <c r="P427" s="3"/>
    </row>
    <row r="428" spans="1:16" ht="44.25" customHeight="1" x14ac:dyDescent="0.35">
      <c r="A428" s="149" t="str">
        <f>PO_CPE!A228</f>
        <v>2.14.19</v>
      </c>
      <c r="B428" s="41" t="str">
        <f>PO_CPE!D228</f>
        <v>VENTILADOR HELICONCÊNTRICO TD-2000/315 SILENT (127V60HZ) 0,466cv BRA VZ - VAZÃO 1.860M³/h - PRESSÃO 52Pa - REF. OTAM OU EQUIVALENTE TÉCNICO</v>
      </c>
      <c r="C428" s="384" t="str">
        <f>PO_CPE!E228</f>
        <v>UNID.</v>
      </c>
      <c r="D428" s="151"/>
      <c r="E428" s="69"/>
      <c r="F428" s="185"/>
      <c r="G428" s="140"/>
      <c r="H428" s="187">
        <f>+SUM(H429:H430)</f>
        <v>4567.5</v>
      </c>
      <c r="I428" s="182"/>
      <c r="J428" s="183"/>
      <c r="K428" s="187"/>
      <c r="L428" s="197"/>
      <c r="M428" s="187">
        <f>SUM(M429:M430)</f>
        <v>263.52</v>
      </c>
      <c r="N428" s="202">
        <f>+IF(A428&gt;0,SUM(H428:M428),0)</f>
        <v>4831.0200000000004</v>
      </c>
    </row>
    <row r="429" spans="1:16" s="15" customFormat="1" ht="108" x14ac:dyDescent="0.35">
      <c r="A429" s="154"/>
      <c r="B429" s="41"/>
      <c r="C429" s="152"/>
      <c r="D429" s="37" t="str">
        <f>B428</f>
        <v>VENTILADOR HELICONCÊNTRICO TD-2000/315 SILENT (127V60HZ) 0,466cv BRA VZ - VAZÃO 1.860M³/h - PRESSÃO 52Pa - REF. OTAM OU EQUIVALENTE TÉCNICO</v>
      </c>
      <c r="E429" s="38" t="str">
        <f>+VLOOKUP(D429,Insumos_MAT!$B$8:$G$16489,2,0)</f>
        <v>UNID.</v>
      </c>
      <c r="F429" s="184">
        <f>+VLOOKUP(D429,Insumos_MAT!$B$8:$G$16489,6,0)</f>
        <v>4567.5</v>
      </c>
      <c r="G429" s="141">
        <v>1</v>
      </c>
      <c r="H429" s="184">
        <f>F429*G429</f>
        <v>4567.5</v>
      </c>
      <c r="I429" s="37" t="s">
        <v>587</v>
      </c>
      <c r="J429" s="39" t="str">
        <f>+VLOOKUP(I429,Insumos_MO!$B$8:$F$3741,2,0)</f>
        <v>H</v>
      </c>
      <c r="K429" s="184">
        <f>+VLOOKUP(I429,Insumos_MO!$B$8:$G$18183,5,0)</f>
        <v>23.09</v>
      </c>
      <c r="L429" s="198">
        <v>6</v>
      </c>
      <c r="M429" s="184">
        <f>+ROUND(K429*L429,2)</f>
        <v>138.54</v>
      </c>
      <c r="N429" s="205"/>
      <c r="O429" s="3"/>
      <c r="P429" s="24"/>
    </row>
    <row r="430" spans="1:16" s="15" customFormat="1" ht="54" x14ac:dyDescent="0.35">
      <c r="A430" s="149"/>
      <c r="B430" s="41"/>
      <c r="C430" s="150"/>
      <c r="D430" s="37"/>
      <c r="E430" s="38"/>
      <c r="F430" s="184"/>
      <c r="G430" s="141"/>
      <c r="H430" s="184"/>
      <c r="I430" s="37" t="s">
        <v>589</v>
      </c>
      <c r="J430" s="39" t="str">
        <f>+VLOOKUP(I430,Insumos_MO!$B$8:$F$3741,2,0)</f>
        <v>H</v>
      </c>
      <c r="K430" s="184">
        <f>+VLOOKUP(I430,Insumos_MO!$B$8:$G$18183,5,0)</f>
        <v>20.83</v>
      </c>
      <c r="L430" s="198">
        <v>6</v>
      </c>
      <c r="M430" s="184">
        <f>+ROUND(K430*L430,2)</f>
        <v>124.98</v>
      </c>
      <c r="N430" s="203"/>
      <c r="O430" s="3"/>
      <c r="P430" s="3"/>
    </row>
    <row r="431" spans="1:16" s="15" customFormat="1" x14ac:dyDescent="0.35">
      <c r="A431" s="149"/>
      <c r="B431" s="41"/>
      <c r="C431" s="150"/>
      <c r="D431" s="37"/>
      <c r="E431" s="38"/>
      <c r="F431" s="184"/>
      <c r="G431" s="141"/>
      <c r="H431" s="184"/>
      <c r="I431" s="151"/>
      <c r="J431" s="69"/>
      <c r="K431" s="185"/>
      <c r="L431" s="199"/>
      <c r="M431" s="185"/>
      <c r="N431" s="203"/>
      <c r="O431" s="3"/>
      <c r="P431" s="3"/>
    </row>
    <row r="432" spans="1:16" ht="44.25" customHeight="1" x14ac:dyDescent="0.35">
      <c r="A432" s="149" t="str">
        <f>PO_CPE!A229</f>
        <v>2.14.20</v>
      </c>
      <c r="B432" s="41" t="str">
        <f>PO_CPE!D229</f>
        <v>QUADRO METÁLICO DE COMANDO 300X400X200mm COM PLACA DE MONTAGEM  - REF. ELETROPOLL OU EQUIVALENTE TÉCNICO</v>
      </c>
      <c r="C432" s="384" t="str">
        <f>PO_CPE!E229</f>
        <v>UNID.</v>
      </c>
      <c r="D432" s="151"/>
      <c r="E432" s="69"/>
      <c r="F432" s="185"/>
      <c r="G432" s="140"/>
      <c r="H432" s="187">
        <f>+SUM(H433:H434)</f>
        <v>525</v>
      </c>
      <c r="I432" s="182"/>
      <c r="J432" s="183"/>
      <c r="K432" s="187"/>
      <c r="L432" s="197"/>
      <c r="M432" s="187">
        <f>SUM(M433:M434)</f>
        <v>109.81</v>
      </c>
      <c r="N432" s="202">
        <f>+IF(A432&gt;0,SUM(H432:M432),0)</f>
        <v>634.80999999999995</v>
      </c>
    </row>
    <row r="433" spans="1:16" s="15" customFormat="1" ht="81" x14ac:dyDescent="0.35">
      <c r="A433" s="154"/>
      <c r="B433" s="41"/>
      <c r="C433" s="152"/>
      <c r="D433" s="37" t="str">
        <f>B432</f>
        <v>QUADRO METÁLICO DE COMANDO 300X400X200mm COM PLACA DE MONTAGEM  - REF. ELETROPOLL OU EQUIVALENTE TÉCNICO</v>
      </c>
      <c r="E433" s="38" t="str">
        <f>+VLOOKUP(D433,Insumos_MAT!$B$8:$G$16489,2,0)</f>
        <v>UNID.</v>
      </c>
      <c r="F433" s="184">
        <f>+VLOOKUP(D433,Insumos_MAT!$B$8:$G$16489,6,0)</f>
        <v>525</v>
      </c>
      <c r="G433" s="141">
        <v>1</v>
      </c>
      <c r="H433" s="184">
        <f>F433*G433</f>
        <v>525</v>
      </c>
      <c r="I433" s="37" t="s">
        <v>587</v>
      </c>
      <c r="J433" s="39" t="str">
        <f>+VLOOKUP(I433,Insumos_MO!$B$8:$F$3741,2,0)</f>
        <v>H</v>
      </c>
      <c r="K433" s="184">
        <f>+VLOOKUP(I433,Insumos_MO!$B$8:$G$18183,5,0)</f>
        <v>23.09</v>
      </c>
      <c r="L433" s="198">
        <v>2.5</v>
      </c>
      <c r="M433" s="184">
        <f>+ROUND(K433*L433,2)</f>
        <v>57.73</v>
      </c>
      <c r="N433" s="205"/>
      <c r="O433" s="3"/>
      <c r="P433" s="24"/>
    </row>
    <row r="434" spans="1:16" s="15" customFormat="1" ht="54" x14ac:dyDescent="0.35">
      <c r="A434" s="149"/>
      <c r="B434" s="41"/>
      <c r="C434" s="150"/>
      <c r="D434" s="37"/>
      <c r="E434" s="38"/>
      <c r="F434" s="184"/>
      <c r="G434" s="141"/>
      <c r="H434" s="184"/>
      <c r="I434" s="37" t="s">
        <v>589</v>
      </c>
      <c r="J434" s="39" t="str">
        <f>+VLOOKUP(I434,Insumos_MO!$B$8:$F$3741,2,0)</f>
        <v>H</v>
      </c>
      <c r="K434" s="184">
        <f>+VLOOKUP(I434,Insumos_MO!$B$8:$G$18183,5,0)</f>
        <v>20.83</v>
      </c>
      <c r="L434" s="198">
        <v>2.5</v>
      </c>
      <c r="M434" s="184">
        <f>+ROUND(K434*L434,2)</f>
        <v>52.08</v>
      </c>
      <c r="N434" s="203"/>
      <c r="O434" s="3"/>
      <c r="P434" s="3"/>
    </row>
    <row r="435" spans="1:16" s="15" customFormat="1" x14ac:dyDescent="0.35">
      <c r="A435" s="149"/>
      <c r="B435" s="41"/>
      <c r="C435" s="150"/>
      <c r="D435" s="37"/>
      <c r="E435" s="38"/>
      <c r="F435" s="184"/>
      <c r="G435" s="141"/>
      <c r="H435" s="184"/>
      <c r="I435" s="151"/>
      <c r="J435" s="69"/>
      <c r="K435" s="185"/>
      <c r="L435" s="199"/>
      <c r="M435" s="185"/>
      <c r="N435" s="203"/>
      <c r="O435" s="3"/>
      <c r="P435" s="3"/>
    </row>
    <row r="436" spans="1:16" ht="27.75" x14ac:dyDescent="0.35">
      <c r="A436" s="149" t="str">
        <f>PO_CPE!A232</f>
        <v>2.14.23</v>
      </c>
      <c r="B436" s="539" t="str">
        <f>PO_CPE!D232</f>
        <v xml:space="preserve">CONTATOR DE POTÊNCIA  RT10 - 21A - SIEMENS </v>
      </c>
      <c r="C436" s="384" t="str">
        <f>PO_CPE!E232</f>
        <v>UNID.</v>
      </c>
      <c r="D436" s="151"/>
      <c r="E436" s="69"/>
      <c r="F436" s="185"/>
      <c r="G436" s="140"/>
      <c r="H436" s="187">
        <f>+SUM(H437:H439)</f>
        <v>422.99</v>
      </c>
      <c r="I436" s="182"/>
      <c r="J436" s="183"/>
      <c r="K436" s="187"/>
      <c r="L436" s="197"/>
      <c r="M436" s="187">
        <f>SUM(M437:M438)</f>
        <v>30.740000000000002</v>
      </c>
      <c r="N436" s="202">
        <f>+IF(A436&gt;0,SUM(H436:M436),0)</f>
        <v>453.73</v>
      </c>
      <c r="O436" s="251"/>
    </row>
    <row r="437" spans="1:16" s="14" customFormat="1" ht="54" x14ac:dyDescent="0.3">
      <c r="A437" s="154"/>
      <c r="B437" s="153"/>
      <c r="C437" s="155"/>
      <c r="D437" s="37" t="s">
        <v>847</v>
      </c>
      <c r="E437" s="38" t="str">
        <f>+VLOOKUP(D437,Insumos_MAT!$B$8:$G$16489,2,0)</f>
        <v>UNID.</v>
      </c>
      <c r="F437" s="184">
        <f>+VLOOKUP(D437,Insumos_MAT!$B$8:$G$16489,6,0)</f>
        <v>422.99</v>
      </c>
      <c r="G437" s="141">
        <v>1</v>
      </c>
      <c r="H437" s="184">
        <f>F437*G437</f>
        <v>422.99</v>
      </c>
      <c r="I437" s="37" t="s">
        <v>587</v>
      </c>
      <c r="J437" s="39" t="str">
        <f>+VLOOKUP(I437,Insumos_MO!$B$8:$F$3741,2,0)</f>
        <v>H</v>
      </c>
      <c r="K437" s="184">
        <f>+VLOOKUP(I437,Insumos_MO!$B$8:$G$18183,5,0)</f>
        <v>23.09</v>
      </c>
      <c r="L437" s="198">
        <v>0.7</v>
      </c>
      <c r="M437" s="184">
        <f>+ROUND(K437*L437,2)</f>
        <v>16.16</v>
      </c>
      <c r="N437" s="203"/>
    </row>
    <row r="438" spans="1:16" s="24" customFormat="1" ht="54" x14ac:dyDescent="0.35">
      <c r="A438" s="154"/>
      <c r="B438" s="37"/>
      <c r="C438" s="156"/>
      <c r="D438" s="37"/>
      <c r="E438" s="38"/>
      <c r="F438" s="184"/>
      <c r="G438" s="141"/>
      <c r="H438" s="184"/>
      <c r="I438" s="37" t="s">
        <v>589</v>
      </c>
      <c r="J438" s="39" t="str">
        <f>+VLOOKUP(I438,Insumos_MO!$B$8:$F$3741,2,0)</f>
        <v>H</v>
      </c>
      <c r="K438" s="184">
        <f>+VLOOKUP(I438,Insumos_MO!$B$8:$G$18183,5,0)</f>
        <v>20.83</v>
      </c>
      <c r="L438" s="198">
        <v>0.7</v>
      </c>
      <c r="M438" s="184">
        <f>+ROUND(K438*L438,2)</f>
        <v>14.58</v>
      </c>
      <c r="N438" s="205"/>
    </row>
    <row r="439" spans="1:16" s="24" customFormat="1" x14ac:dyDescent="0.35">
      <c r="A439" s="154"/>
      <c r="B439" s="37"/>
      <c r="C439" s="156"/>
      <c r="D439" s="37"/>
      <c r="E439" s="38"/>
      <c r="F439" s="184"/>
      <c r="G439" s="141"/>
      <c r="H439" s="184"/>
      <c r="I439" s="37"/>
      <c r="J439" s="39"/>
      <c r="K439" s="184"/>
      <c r="L439" s="198"/>
      <c r="M439" s="184"/>
      <c r="N439" s="205"/>
    </row>
    <row r="440" spans="1:16" ht="27.75" x14ac:dyDescent="0.35">
      <c r="A440" s="149" t="str">
        <f>PO_CPE!A233</f>
        <v>2.14.24</v>
      </c>
      <c r="B440" s="539" t="str">
        <f>PO_CPE!D233</f>
        <v xml:space="preserve">CONTATOR DE POTÊNCIA  RT10 - 5A - SIEMENS </v>
      </c>
      <c r="C440" s="384" t="str">
        <f>PO_CPE!E233</f>
        <v>UNID.</v>
      </c>
      <c r="D440" s="151"/>
      <c r="E440" s="69"/>
      <c r="F440" s="185"/>
      <c r="G440" s="140"/>
      <c r="H440" s="187">
        <f>+SUM(H441:H443)</f>
        <v>133.44</v>
      </c>
      <c r="I440" s="182"/>
      <c r="J440" s="183"/>
      <c r="K440" s="187"/>
      <c r="L440" s="197"/>
      <c r="M440" s="187">
        <f>SUM(M441:M442)</f>
        <v>30.740000000000002</v>
      </c>
      <c r="N440" s="202">
        <f>+IF(A440&gt;0,SUM(H440:M440),0)</f>
        <v>164.18</v>
      </c>
      <c r="O440" s="251"/>
    </row>
    <row r="441" spans="1:16" s="14" customFormat="1" ht="54" x14ac:dyDescent="0.3">
      <c r="A441" s="154"/>
      <c r="B441" s="153"/>
      <c r="C441" s="155"/>
      <c r="D441" s="37" t="s">
        <v>848</v>
      </c>
      <c r="E441" s="38" t="str">
        <f>+VLOOKUP(D441,Insumos_MAT!$B$8:$G$16489,2,0)</f>
        <v>UNID.</v>
      </c>
      <c r="F441" s="184">
        <f>+VLOOKUP(D441,Insumos_MAT!$B$8:$G$16489,6,0)</f>
        <v>133.44</v>
      </c>
      <c r="G441" s="141">
        <v>1</v>
      </c>
      <c r="H441" s="184">
        <f>F441*G441</f>
        <v>133.44</v>
      </c>
      <c r="I441" s="37" t="s">
        <v>587</v>
      </c>
      <c r="J441" s="39" t="str">
        <f>+VLOOKUP(I441,Insumos_MO!$B$8:$F$3741,2,0)</f>
        <v>H</v>
      </c>
      <c r="K441" s="184">
        <f>+VLOOKUP(I441,Insumos_MO!$B$8:$G$18183,5,0)</f>
        <v>23.09</v>
      </c>
      <c r="L441" s="198">
        <v>0.7</v>
      </c>
      <c r="M441" s="184">
        <f>+ROUND(K441*L441,2)</f>
        <v>16.16</v>
      </c>
      <c r="N441" s="203"/>
    </row>
    <row r="442" spans="1:16" s="24" customFormat="1" ht="54" x14ac:dyDescent="0.35">
      <c r="A442" s="154"/>
      <c r="B442" s="37"/>
      <c r="C442" s="156"/>
      <c r="D442" s="37"/>
      <c r="E442" s="38"/>
      <c r="F442" s="184"/>
      <c r="G442" s="141"/>
      <c r="H442" s="184"/>
      <c r="I442" s="37" t="s">
        <v>589</v>
      </c>
      <c r="J442" s="39" t="str">
        <f>+VLOOKUP(I442,Insumos_MO!$B$8:$F$3741,2,0)</f>
        <v>H</v>
      </c>
      <c r="K442" s="184">
        <f>+VLOOKUP(I442,Insumos_MO!$B$8:$G$18183,5,0)</f>
        <v>20.83</v>
      </c>
      <c r="L442" s="198">
        <v>0.7</v>
      </c>
      <c r="M442" s="184">
        <f>+ROUND(K442*L442,2)</f>
        <v>14.58</v>
      </c>
      <c r="N442" s="205"/>
    </row>
    <row r="443" spans="1:16" s="24" customFormat="1" x14ac:dyDescent="0.35">
      <c r="A443" s="154"/>
      <c r="B443" s="37"/>
      <c r="C443" s="156"/>
      <c r="D443" s="37"/>
      <c r="E443" s="38"/>
      <c r="F443" s="184"/>
      <c r="G443" s="141"/>
      <c r="H443" s="184"/>
      <c r="I443" s="37"/>
      <c r="J443" s="39"/>
      <c r="K443" s="184"/>
      <c r="L443" s="198"/>
      <c r="M443" s="184"/>
      <c r="N443" s="205"/>
    </row>
    <row r="444" spans="1:16" ht="27" x14ac:dyDescent="0.35">
      <c r="A444" s="149" t="str">
        <f>PO_CPE!A237</f>
        <v>2.14.28</v>
      </c>
      <c r="B444" s="41" t="str">
        <f>PO_CPE!D237</f>
        <v>CABO DE FORÇA TIPO PP 4X4,0mm2 - IDENTIFICADO</v>
      </c>
      <c r="C444" s="384" t="str">
        <f>PO_CPE!E237</f>
        <v>M</v>
      </c>
      <c r="D444" s="151"/>
      <c r="E444" s="69"/>
      <c r="F444" s="185"/>
      <c r="G444" s="140"/>
      <c r="H444" s="187">
        <f>+SUM(H445:H446)</f>
        <v>22.943159999999999</v>
      </c>
      <c r="I444" s="182"/>
      <c r="J444" s="183"/>
      <c r="K444" s="187"/>
      <c r="L444" s="197"/>
      <c r="M444" s="187">
        <f>SUM(M445:M446)</f>
        <v>2.99</v>
      </c>
      <c r="N444" s="202">
        <f>+IF(A444&gt;0,SUM(H444:M444),0)</f>
        <v>25.933160000000001</v>
      </c>
    </row>
    <row r="445" spans="1:16" s="15" customFormat="1" ht="54" x14ac:dyDescent="0.35">
      <c r="A445" s="154"/>
      <c r="B445" s="41"/>
      <c r="C445" s="152"/>
      <c r="D445" s="37" t="s">
        <v>937</v>
      </c>
      <c r="E445" s="38" t="str">
        <f>+VLOOKUP(D445,Insumos_MAT!$B$8:$G$16489,2,0)</f>
        <v>M</v>
      </c>
      <c r="F445" s="184">
        <f>+VLOOKUP(D445,Insumos_MAT!$B$8:$G$16489,6,0)</f>
        <v>19.260000000000002</v>
      </c>
      <c r="G445" s="141">
        <v>1.19</v>
      </c>
      <c r="H445" s="184">
        <f>F445*G445</f>
        <v>22.9194</v>
      </c>
      <c r="I445" s="37" t="s">
        <v>449</v>
      </c>
      <c r="J445" s="39" t="str">
        <f>+VLOOKUP(I445,Insumos_MO!$B$8:$F$3741,2,0)</f>
        <v>H</v>
      </c>
      <c r="K445" s="184">
        <f>+VLOOKUP(I445,Insumos_MO!$B$8:$G$18183,5,0)</f>
        <v>17.170000000000002</v>
      </c>
      <c r="L445" s="198">
        <v>7.4999999999999997E-2</v>
      </c>
      <c r="M445" s="184">
        <f>+ROUND(K445*L445,2)</f>
        <v>1.29</v>
      </c>
      <c r="N445" s="205"/>
      <c r="O445" s="3"/>
      <c r="P445" s="24"/>
    </row>
    <row r="446" spans="1:16" s="15" customFormat="1" ht="54" x14ac:dyDescent="0.35">
      <c r="A446" s="149"/>
      <c r="B446" s="41"/>
      <c r="C446" s="150"/>
      <c r="D446" s="37" t="s">
        <v>447</v>
      </c>
      <c r="E446" s="38" t="str">
        <f>+VLOOKUP(D446,Insumos_MAT!$B$8:$G$16489,2,0)</f>
        <v>UNID.</v>
      </c>
      <c r="F446" s="184">
        <f>+VLOOKUP(D446,Insumos_MAT!$B$8:$G$16489,6,0)</f>
        <v>2.64</v>
      </c>
      <c r="G446" s="141">
        <v>8.9999999999999993E-3</v>
      </c>
      <c r="H446" s="184">
        <f>F446*G446</f>
        <v>2.376E-2</v>
      </c>
      <c r="I446" s="37" t="s">
        <v>380</v>
      </c>
      <c r="J446" s="39" t="str">
        <f>+VLOOKUP(I446,Insumos_MO!$B$8:$F$3741,2,0)</f>
        <v>H</v>
      </c>
      <c r="K446" s="184">
        <f>+VLOOKUP(I446,Insumos_MO!$B$8:$G$18183,5,0)</f>
        <v>22.61</v>
      </c>
      <c r="L446" s="198">
        <v>7.4999999999999997E-2</v>
      </c>
      <c r="M446" s="184">
        <f>+ROUND(K446*L446,2)</f>
        <v>1.7</v>
      </c>
      <c r="N446" s="203"/>
      <c r="O446" s="3"/>
      <c r="P446" s="3"/>
    </row>
    <row r="447" spans="1:16" s="15" customFormat="1" x14ac:dyDescent="0.35">
      <c r="A447" s="149"/>
      <c r="B447" s="41"/>
      <c r="C447" s="150"/>
      <c r="D447" s="37"/>
      <c r="E447" s="38"/>
      <c r="F447" s="184"/>
      <c r="G447" s="141"/>
      <c r="H447" s="184"/>
      <c r="I447" s="151"/>
      <c r="J447" s="69"/>
      <c r="K447" s="185"/>
      <c r="L447" s="199"/>
      <c r="M447" s="185"/>
      <c r="N447" s="203"/>
      <c r="O447" s="3"/>
      <c r="P447" s="3"/>
    </row>
    <row r="448" spans="1:16" ht="27.75" x14ac:dyDescent="0.35">
      <c r="A448" s="149" t="str">
        <f>PO_CPE!A238</f>
        <v>2.14.29</v>
      </c>
      <c r="B448" s="539" t="str">
        <f>PO_CPE!D238</f>
        <v>RELÊ FALTA E SEQUÊNCIA DE FASE 220V - WEG RMW17-FSF01D65</v>
      </c>
      <c r="C448" s="384" t="str">
        <f>PO_CPE!E238</f>
        <v>UNID.</v>
      </c>
      <c r="D448" s="151"/>
      <c r="E448" s="69"/>
      <c r="F448" s="185"/>
      <c r="G448" s="140"/>
      <c r="H448" s="187">
        <f>+SUM(H449:H451)</f>
        <v>291.39999999999998</v>
      </c>
      <c r="I448" s="182"/>
      <c r="J448" s="183"/>
      <c r="K448" s="187"/>
      <c r="L448" s="197"/>
      <c r="M448" s="187">
        <f>SUM(M449:M450)</f>
        <v>30.740000000000002</v>
      </c>
      <c r="N448" s="202">
        <f>+IF(A448&gt;0,SUM(H448:M448),0)</f>
        <v>322.14</v>
      </c>
      <c r="O448" s="251"/>
    </row>
    <row r="449" spans="1:15" s="14" customFormat="1" ht="54" x14ac:dyDescent="0.3">
      <c r="A449" s="154"/>
      <c r="B449" s="153"/>
      <c r="C449" s="155"/>
      <c r="D449" s="37" t="s">
        <v>850</v>
      </c>
      <c r="E449" s="38" t="str">
        <f>+VLOOKUP(D449,Insumos_MAT!$B$8:$G$16489,2,0)</f>
        <v>UNID.</v>
      </c>
      <c r="F449" s="184">
        <f>+VLOOKUP(D449,Insumos_MAT!$B$8:$G$16489,6,0)</f>
        <v>291.39999999999998</v>
      </c>
      <c r="G449" s="141">
        <v>1</v>
      </c>
      <c r="H449" s="184">
        <f>F449*G449</f>
        <v>291.39999999999998</v>
      </c>
      <c r="I449" s="37" t="s">
        <v>587</v>
      </c>
      <c r="J449" s="39" t="str">
        <f>+VLOOKUP(I449,Insumos_MO!$B$8:$F$3741,2,0)</f>
        <v>H</v>
      </c>
      <c r="K449" s="184">
        <f>+VLOOKUP(I449,Insumos_MO!$B$8:$G$18183,5,0)</f>
        <v>23.09</v>
      </c>
      <c r="L449" s="198">
        <v>0.7</v>
      </c>
      <c r="M449" s="184">
        <f>+ROUND(K449*L449,2)</f>
        <v>16.16</v>
      </c>
      <c r="N449" s="203"/>
    </row>
    <row r="450" spans="1:15" s="24" customFormat="1" ht="54" x14ac:dyDescent="0.35">
      <c r="A450" s="154"/>
      <c r="B450" s="37"/>
      <c r="C450" s="156"/>
      <c r="D450" s="37"/>
      <c r="E450" s="38"/>
      <c r="F450" s="184"/>
      <c r="G450" s="141"/>
      <c r="H450" s="184"/>
      <c r="I450" s="37" t="s">
        <v>589</v>
      </c>
      <c r="J450" s="39" t="str">
        <f>+VLOOKUP(I450,Insumos_MO!$B$8:$F$3741,2,0)</f>
        <v>H</v>
      </c>
      <c r="K450" s="184">
        <f>+VLOOKUP(I450,Insumos_MO!$B$8:$G$18183,5,0)</f>
        <v>20.83</v>
      </c>
      <c r="L450" s="198">
        <v>0.7</v>
      </c>
      <c r="M450" s="184">
        <f>+ROUND(K450*L450,2)</f>
        <v>14.58</v>
      </c>
      <c r="N450" s="205"/>
    </row>
    <row r="451" spans="1:15" s="24" customFormat="1" x14ac:dyDescent="0.35">
      <c r="A451" s="154"/>
      <c r="B451" s="37"/>
      <c r="C451" s="156"/>
      <c r="D451" s="37"/>
      <c r="E451" s="38"/>
      <c r="F451" s="184"/>
      <c r="G451" s="141"/>
      <c r="H451" s="184"/>
      <c r="I451" s="37"/>
      <c r="J451" s="39"/>
      <c r="K451" s="184"/>
      <c r="L451" s="198"/>
      <c r="M451" s="184"/>
      <c r="N451" s="205"/>
    </row>
    <row r="452" spans="1:15" ht="41.25" x14ac:dyDescent="0.35">
      <c r="A452" s="149" t="str">
        <f>PO_CPE!A239</f>
        <v>2.14.30</v>
      </c>
      <c r="B452" s="539" t="str">
        <f>PO_CPE!D239</f>
        <v xml:space="preserve">CONECTORES, ETIQUETAS DE IDENTIFICAÇÃO E  ACESSÓRIOS PARA MONTAGEM DO QUADRO </v>
      </c>
      <c r="C452" s="384" t="str">
        <f>PO_CPE!E239</f>
        <v>UNID.</v>
      </c>
      <c r="D452" s="151"/>
      <c r="E452" s="69"/>
      <c r="F452" s="185"/>
      <c r="G452" s="140"/>
      <c r="H452" s="187">
        <f>+SUM(H453:H455)</f>
        <v>120</v>
      </c>
      <c r="I452" s="182"/>
      <c r="J452" s="183"/>
      <c r="K452" s="187"/>
      <c r="L452" s="197"/>
      <c r="M452" s="187">
        <f>SUM(M453:M454)</f>
        <v>35.129999999999995</v>
      </c>
      <c r="N452" s="202">
        <f>+IF(A452&gt;0,SUM(H452:M452),0)</f>
        <v>155.13</v>
      </c>
      <c r="O452" s="251"/>
    </row>
    <row r="453" spans="1:15" s="14" customFormat="1" ht="67.5" x14ac:dyDescent="0.3">
      <c r="A453" s="154"/>
      <c r="B453" s="153"/>
      <c r="C453" s="155"/>
      <c r="D453" s="37" t="s">
        <v>851</v>
      </c>
      <c r="E453" s="38" t="str">
        <f>+VLOOKUP(D453,Insumos_MAT!$B$8:$G$16489,2,0)</f>
        <v>UNID.</v>
      </c>
      <c r="F453" s="184">
        <f>+VLOOKUP(D453,Insumos_MAT!$B$8:$G$16489,6,0)</f>
        <v>120</v>
      </c>
      <c r="G453" s="141">
        <v>1</v>
      </c>
      <c r="H453" s="184">
        <f>F453*G453</f>
        <v>120</v>
      </c>
      <c r="I453" s="37" t="s">
        <v>587</v>
      </c>
      <c r="J453" s="39" t="str">
        <f>+VLOOKUP(I453,Insumos_MO!$B$8:$F$3741,2,0)</f>
        <v>H</v>
      </c>
      <c r="K453" s="184">
        <f>+VLOOKUP(I453,Insumos_MO!$B$8:$G$18183,5,0)</f>
        <v>23.09</v>
      </c>
      <c r="L453" s="198">
        <v>0.8</v>
      </c>
      <c r="M453" s="184">
        <f>+ROUND(K453*L453,2)</f>
        <v>18.47</v>
      </c>
      <c r="N453" s="203"/>
    </row>
    <row r="454" spans="1:15" s="24" customFormat="1" ht="54" x14ac:dyDescent="0.35">
      <c r="A454" s="154"/>
      <c r="B454" s="37"/>
      <c r="C454" s="156"/>
      <c r="D454" s="37"/>
      <c r="E454" s="38"/>
      <c r="F454" s="184"/>
      <c r="G454" s="141"/>
      <c r="H454" s="184"/>
      <c r="I454" s="37" t="s">
        <v>589</v>
      </c>
      <c r="J454" s="39" t="str">
        <f>+VLOOKUP(I454,Insumos_MO!$B$8:$F$3741,2,0)</f>
        <v>H</v>
      </c>
      <c r="K454" s="184">
        <f>+VLOOKUP(I454,Insumos_MO!$B$8:$G$18183,5,0)</f>
        <v>20.83</v>
      </c>
      <c r="L454" s="198">
        <v>0.8</v>
      </c>
      <c r="M454" s="184">
        <f>+ROUND(K454*L454,2)</f>
        <v>16.66</v>
      </c>
      <c r="N454" s="205"/>
    </row>
    <row r="455" spans="1:15" s="24" customFormat="1" x14ac:dyDescent="0.35">
      <c r="A455" s="154"/>
      <c r="B455" s="37"/>
      <c r="C455" s="156"/>
      <c r="D455" s="37"/>
      <c r="E455" s="38"/>
      <c r="F455" s="184"/>
      <c r="G455" s="141"/>
      <c r="H455" s="184"/>
      <c r="I455" s="37"/>
      <c r="J455" s="39"/>
      <c r="K455" s="184"/>
      <c r="L455" s="198"/>
      <c r="M455" s="184"/>
      <c r="N455" s="205"/>
    </row>
    <row r="456" spans="1:15" ht="27.75" x14ac:dyDescent="0.35">
      <c r="A456" s="149" t="str">
        <f>PO_CPE!A240</f>
        <v>2.14.31</v>
      </c>
      <c r="B456" s="539" t="str">
        <f>PO_CPE!D240</f>
        <v>BLOCO DE CONTATO PARA CONTATORA WEG CDM-25</v>
      </c>
      <c r="C456" s="384" t="str">
        <f>PO_CPE!E240</f>
        <v>UNID.</v>
      </c>
      <c r="D456" s="151"/>
      <c r="E456" s="69"/>
      <c r="F456" s="185"/>
      <c r="G456" s="140"/>
      <c r="H456" s="187">
        <f>+SUM(H457:H459)</f>
        <v>132.9</v>
      </c>
      <c r="I456" s="182"/>
      <c r="J456" s="183"/>
      <c r="K456" s="187"/>
      <c r="L456" s="197"/>
      <c r="M456" s="187">
        <f>SUM(M457:M458)</f>
        <v>30.740000000000002</v>
      </c>
      <c r="N456" s="202">
        <f>+IF(A456&gt;0,SUM(H456:M456),0)</f>
        <v>163.64000000000001</v>
      </c>
      <c r="O456" s="251"/>
    </row>
    <row r="457" spans="1:15" s="14" customFormat="1" ht="54" x14ac:dyDescent="0.3">
      <c r="A457" s="154"/>
      <c r="B457" s="153"/>
      <c r="C457" s="155"/>
      <c r="D457" s="37" t="s">
        <v>858</v>
      </c>
      <c r="E457" s="38" t="str">
        <f>+VLOOKUP(D457,Insumos_MAT!$B$8:$G$16489,2,0)</f>
        <v>UNID.</v>
      </c>
      <c r="F457" s="184">
        <f>+VLOOKUP(D457,Insumos_MAT!$B$8:$G$16489,6,0)</f>
        <v>132.9</v>
      </c>
      <c r="G457" s="141">
        <v>1</v>
      </c>
      <c r="H457" s="184">
        <f>F457*G457</f>
        <v>132.9</v>
      </c>
      <c r="I457" s="37" t="s">
        <v>587</v>
      </c>
      <c r="J457" s="39" t="str">
        <f>+VLOOKUP(I457,Insumos_MO!$B$8:$F$3741,2,0)</f>
        <v>H</v>
      </c>
      <c r="K457" s="184">
        <f>+VLOOKUP(I457,Insumos_MO!$B$8:$G$18183,5,0)</f>
        <v>23.09</v>
      </c>
      <c r="L457" s="198">
        <v>0.7</v>
      </c>
      <c r="M457" s="184">
        <f>+ROUND(K457*L457,2)</f>
        <v>16.16</v>
      </c>
      <c r="N457" s="203"/>
    </row>
    <row r="458" spans="1:15" s="24" customFormat="1" ht="54" x14ac:dyDescent="0.35">
      <c r="A458" s="154"/>
      <c r="B458" s="37"/>
      <c r="C458" s="156"/>
      <c r="D458" s="37"/>
      <c r="E458" s="38"/>
      <c r="F458" s="184"/>
      <c r="G458" s="141"/>
      <c r="H458" s="184"/>
      <c r="I458" s="37" t="s">
        <v>589</v>
      </c>
      <c r="J458" s="39" t="str">
        <f>+VLOOKUP(I458,Insumos_MO!$B$8:$F$3741,2,0)</f>
        <v>H</v>
      </c>
      <c r="K458" s="184">
        <f>+VLOOKUP(I458,Insumos_MO!$B$8:$G$18183,5,0)</f>
        <v>20.83</v>
      </c>
      <c r="L458" s="198">
        <v>0.7</v>
      </c>
      <c r="M458" s="184">
        <f>+ROUND(K458*L458,2)</f>
        <v>14.58</v>
      </c>
      <c r="N458" s="205"/>
    </row>
    <row r="459" spans="1:15" s="24" customFormat="1" x14ac:dyDescent="0.35">
      <c r="A459" s="154"/>
      <c r="B459" s="37"/>
      <c r="C459" s="156"/>
      <c r="D459" s="37"/>
      <c r="E459" s="38"/>
      <c r="F459" s="184"/>
      <c r="G459" s="141"/>
      <c r="H459" s="184"/>
      <c r="I459" s="37"/>
      <c r="J459" s="39"/>
      <c r="K459" s="184"/>
      <c r="L459" s="198"/>
      <c r="M459" s="184"/>
      <c r="N459" s="205"/>
    </row>
    <row r="460" spans="1:15" ht="27.75" x14ac:dyDescent="0.35">
      <c r="A460" s="149" t="str">
        <f>PO_CPE!A234</f>
        <v>2.14.25</v>
      </c>
      <c r="B460" s="539" t="str">
        <f>PO_CPE!D234</f>
        <v xml:space="preserve">RELÊ DE SOBRECARGA 3RU11 - 17- 22A - SIEMENS </v>
      </c>
      <c r="C460" s="384" t="str">
        <f>PO_CPE!E234</f>
        <v>UNID.</v>
      </c>
      <c r="D460" s="151"/>
      <c r="E460" s="69"/>
      <c r="F460" s="185"/>
      <c r="G460" s="140"/>
      <c r="H460" s="187">
        <f>+SUM(H461:H463)</f>
        <v>222.5</v>
      </c>
      <c r="I460" s="182"/>
      <c r="J460" s="183"/>
      <c r="K460" s="187"/>
      <c r="L460" s="197"/>
      <c r="M460" s="187">
        <f>SUM(M461:M462)</f>
        <v>21.97</v>
      </c>
      <c r="N460" s="202">
        <f>+IF(A460&gt;0,SUM(H460:M460),0)</f>
        <v>244.47</v>
      </c>
      <c r="O460" s="251"/>
    </row>
    <row r="461" spans="1:15" s="14" customFormat="1" ht="54" x14ac:dyDescent="0.3">
      <c r="A461" s="154"/>
      <c r="B461" s="153"/>
      <c r="C461" s="155"/>
      <c r="D461" s="37" t="s">
        <v>918</v>
      </c>
      <c r="E461" s="38" t="str">
        <f>+VLOOKUP(D461,Insumos_MAT!$B$8:$G$16489,2,0)</f>
        <v>UNID.</v>
      </c>
      <c r="F461" s="184">
        <f>+VLOOKUP(D461,Insumos_MAT!$B$8:$G$16489,6,0)</f>
        <v>222.5</v>
      </c>
      <c r="G461" s="141">
        <v>1</v>
      </c>
      <c r="H461" s="184">
        <f>F461*G461</f>
        <v>222.5</v>
      </c>
      <c r="I461" s="37" t="s">
        <v>587</v>
      </c>
      <c r="J461" s="39" t="str">
        <f>+VLOOKUP(I461,Insumos_MO!$B$8:$F$3741,2,0)</f>
        <v>H</v>
      </c>
      <c r="K461" s="184">
        <f>+VLOOKUP(I461,Insumos_MO!$B$8:$G$18183,5,0)</f>
        <v>23.09</v>
      </c>
      <c r="L461" s="198">
        <v>0.5</v>
      </c>
      <c r="M461" s="184">
        <f>+ROUND(K461*L461,2)</f>
        <v>11.55</v>
      </c>
      <c r="N461" s="203"/>
    </row>
    <row r="462" spans="1:15" s="24" customFormat="1" ht="54" x14ac:dyDescent="0.35">
      <c r="A462" s="154"/>
      <c r="B462" s="37"/>
      <c r="C462" s="156"/>
      <c r="D462" s="37"/>
      <c r="E462" s="38"/>
      <c r="F462" s="184"/>
      <c r="G462" s="141"/>
      <c r="H462" s="184"/>
      <c r="I462" s="37" t="s">
        <v>589</v>
      </c>
      <c r="J462" s="39" t="str">
        <f>+VLOOKUP(I462,Insumos_MO!$B$8:$F$3741,2,0)</f>
        <v>H</v>
      </c>
      <c r="K462" s="184">
        <f>+VLOOKUP(I462,Insumos_MO!$B$8:$G$18183,5,0)</f>
        <v>20.83</v>
      </c>
      <c r="L462" s="198">
        <v>0.5</v>
      </c>
      <c r="M462" s="184">
        <f>+ROUND(K462*L462,2)</f>
        <v>10.42</v>
      </c>
      <c r="N462" s="205"/>
    </row>
    <row r="463" spans="1:15" s="24" customFormat="1" x14ac:dyDescent="0.35">
      <c r="A463" s="154"/>
      <c r="B463" s="37"/>
      <c r="C463" s="156"/>
      <c r="D463" s="37"/>
      <c r="E463" s="38"/>
      <c r="F463" s="184"/>
      <c r="G463" s="141"/>
      <c r="H463" s="184"/>
      <c r="I463" s="37"/>
      <c r="J463" s="39"/>
      <c r="K463" s="184"/>
      <c r="L463" s="198"/>
      <c r="M463" s="184"/>
      <c r="N463" s="205"/>
    </row>
    <row r="464" spans="1:15" ht="27.75" x14ac:dyDescent="0.35">
      <c r="A464" s="149" t="str">
        <f>PO_CPE!A235</f>
        <v>2.14.26</v>
      </c>
      <c r="B464" s="539" t="str">
        <f>PO_CPE!D235</f>
        <v xml:space="preserve">RELÊ DE SOBRECARGA 3RU11 - 2,8- 4A - SIEMENS </v>
      </c>
      <c r="C464" s="384" t="str">
        <f>PO_CPE!E235</f>
        <v>UNID.</v>
      </c>
      <c r="D464" s="151"/>
      <c r="E464" s="69"/>
      <c r="F464" s="185"/>
      <c r="G464" s="140"/>
      <c r="H464" s="187">
        <f>+SUM(H465:H467)</f>
        <v>158.88</v>
      </c>
      <c r="I464" s="182"/>
      <c r="J464" s="183"/>
      <c r="K464" s="187"/>
      <c r="L464" s="197"/>
      <c r="M464" s="187">
        <f>SUM(M465:M466)</f>
        <v>21.97</v>
      </c>
      <c r="N464" s="202">
        <f>+IF(A464&gt;0,SUM(H464:M464),0)</f>
        <v>180.85</v>
      </c>
      <c r="O464" s="251"/>
    </row>
    <row r="465" spans="1:15" s="14" customFormat="1" ht="54" x14ac:dyDescent="0.3">
      <c r="A465" s="154"/>
      <c r="B465" s="153"/>
      <c r="C465" s="155"/>
      <c r="D465" s="37" t="s">
        <v>919</v>
      </c>
      <c r="E465" s="38" t="str">
        <f>+VLOOKUP(D465,Insumos_MAT!$B$8:$G$16489,2,0)</f>
        <v>UNID.</v>
      </c>
      <c r="F465" s="184">
        <f>+VLOOKUP(D465,Insumos_MAT!$B$8:$G$16489,6,0)</f>
        <v>158.88</v>
      </c>
      <c r="G465" s="141">
        <v>1</v>
      </c>
      <c r="H465" s="184">
        <f>F465*G465</f>
        <v>158.88</v>
      </c>
      <c r="I465" s="37" t="s">
        <v>587</v>
      </c>
      <c r="J465" s="39" t="str">
        <f>+VLOOKUP(I465,Insumos_MO!$B$8:$F$3741,2,0)</f>
        <v>H</v>
      </c>
      <c r="K465" s="184">
        <f>+VLOOKUP(I465,Insumos_MO!$B$8:$G$18183,5,0)</f>
        <v>23.09</v>
      </c>
      <c r="L465" s="198">
        <v>0.5</v>
      </c>
      <c r="M465" s="184">
        <f>+ROUND(K465*L465,2)</f>
        <v>11.55</v>
      </c>
      <c r="N465" s="203"/>
    </row>
    <row r="466" spans="1:15" s="24" customFormat="1" ht="54" x14ac:dyDescent="0.35">
      <c r="A466" s="154"/>
      <c r="B466" s="37"/>
      <c r="C466" s="156"/>
      <c r="D466" s="37"/>
      <c r="E466" s="38"/>
      <c r="F466" s="184"/>
      <c r="G466" s="141"/>
      <c r="H466" s="184"/>
      <c r="I466" s="37" t="s">
        <v>589</v>
      </c>
      <c r="J466" s="39" t="str">
        <f>+VLOOKUP(I466,Insumos_MO!$B$8:$F$3741,2,0)</f>
        <v>H</v>
      </c>
      <c r="K466" s="184">
        <f>+VLOOKUP(I466,Insumos_MO!$B$8:$G$18183,5,0)</f>
        <v>20.83</v>
      </c>
      <c r="L466" s="198">
        <v>0.5</v>
      </c>
      <c r="M466" s="184">
        <f>+ROUND(K466*L466,2)</f>
        <v>10.42</v>
      </c>
      <c r="N466" s="205"/>
    </row>
    <row r="467" spans="1:15" s="24" customFormat="1" x14ac:dyDescent="0.35">
      <c r="A467" s="154"/>
      <c r="B467" s="37"/>
      <c r="C467" s="156"/>
      <c r="D467" s="37"/>
      <c r="E467" s="38"/>
      <c r="F467" s="184"/>
      <c r="G467" s="141"/>
      <c r="H467" s="184"/>
      <c r="I467" s="37"/>
      <c r="J467" s="39"/>
      <c r="K467" s="184"/>
      <c r="L467" s="198"/>
      <c r="M467" s="184"/>
      <c r="N467" s="205"/>
    </row>
    <row r="468" spans="1:15" ht="68.25" x14ac:dyDescent="0.35">
      <c r="A468" s="149" t="str">
        <f>PO_CPE!A241</f>
        <v>2.14.32</v>
      </c>
      <c r="B468" s="539" t="str">
        <f>PO_CPE!D241</f>
        <v>POLIA DO VENTILADOR DO FANCOIL PARA ADEQUAÇÃO DA VAZÃO DE INSUFLAMENTO (O INSTALADOR DEVERÁ INSPECIONAR E SELECIONAR A POLIA EM CAMPO)</v>
      </c>
      <c r="C468" s="384" t="str">
        <f>PO_CPE!E241</f>
        <v>UNID.</v>
      </c>
      <c r="D468" s="151"/>
      <c r="E468" s="69"/>
      <c r="F468" s="185"/>
      <c r="G468" s="140"/>
      <c r="H468" s="187">
        <f>+SUM(H469:H471)</f>
        <v>329.2</v>
      </c>
      <c r="I468" s="182"/>
      <c r="J468" s="183"/>
      <c r="K468" s="187"/>
      <c r="L468" s="197"/>
      <c r="M468" s="187">
        <f>SUM(M469:M470)</f>
        <v>87.84</v>
      </c>
      <c r="N468" s="202">
        <f>+IF(A468&gt;0,SUM(H468:M468),0)</f>
        <v>417.03999999999996</v>
      </c>
      <c r="O468" s="251"/>
    </row>
    <row r="469" spans="1:15" s="14" customFormat="1" ht="54" x14ac:dyDescent="0.3">
      <c r="A469" s="154"/>
      <c r="B469" s="153"/>
      <c r="C469" s="155"/>
      <c r="D469" s="37" t="s">
        <v>593</v>
      </c>
      <c r="E469" s="38" t="str">
        <f>+VLOOKUP(D469,Insumos_MAT!$B$8:$G$16489,2,0)</f>
        <v>UNID.</v>
      </c>
      <c r="F469" s="184">
        <f>+VLOOKUP(D469,Insumos_MAT!$B$8:$G$16489,6,0)</f>
        <v>329.2</v>
      </c>
      <c r="G469" s="141">
        <v>1</v>
      </c>
      <c r="H469" s="184">
        <f>F469*G469</f>
        <v>329.2</v>
      </c>
      <c r="I469" s="37" t="s">
        <v>587</v>
      </c>
      <c r="J469" s="39" t="str">
        <f>+VLOOKUP(I469,Insumos_MO!$B$8:$F$3741,2,0)</f>
        <v>H</v>
      </c>
      <c r="K469" s="184">
        <f>+VLOOKUP(I469,Insumos_MO!$B$8:$G$18183,5,0)</f>
        <v>23.09</v>
      </c>
      <c r="L469" s="198">
        <v>2</v>
      </c>
      <c r="M469" s="184">
        <f>+ROUND(K469*L469,2)</f>
        <v>46.18</v>
      </c>
      <c r="N469" s="203"/>
    </row>
    <row r="470" spans="1:15" s="24" customFormat="1" ht="54" x14ac:dyDescent="0.35">
      <c r="A470" s="154"/>
      <c r="B470" s="37"/>
      <c r="C470" s="156"/>
      <c r="D470" s="37"/>
      <c r="E470" s="38"/>
      <c r="F470" s="184"/>
      <c r="G470" s="141"/>
      <c r="H470" s="184"/>
      <c r="I470" s="37" t="s">
        <v>589</v>
      </c>
      <c r="J470" s="39" t="str">
        <f>+VLOOKUP(I470,Insumos_MO!$B$8:$F$3741,2,0)</f>
        <v>H</v>
      </c>
      <c r="K470" s="184">
        <f>+VLOOKUP(I470,Insumos_MO!$B$8:$G$18183,5,0)</f>
        <v>20.83</v>
      </c>
      <c r="L470" s="198">
        <v>2</v>
      </c>
      <c r="M470" s="184">
        <f>+ROUND(K470*L470,2)</f>
        <v>41.66</v>
      </c>
      <c r="N470" s="205"/>
    </row>
    <row r="471" spans="1:15" s="24" customFormat="1" x14ac:dyDescent="0.35">
      <c r="A471" s="154"/>
      <c r="B471" s="37"/>
      <c r="C471" s="156"/>
      <c r="D471" s="37"/>
      <c r="E471" s="38"/>
      <c r="F471" s="184"/>
      <c r="G471" s="141"/>
      <c r="H471" s="184"/>
      <c r="I471" s="37"/>
      <c r="J471" s="39"/>
      <c r="K471" s="184"/>
      <c r="L471" s="198"/>
      <c r="M471" s="184"/>
      <c r="N471" s="205"/>
    </row>
    <row r="472" spans="1:15" ht="27.75" x14ac:dyDescent="0.35">
      <c r="A472" s="149" t="str">
        <f>PO_CPE!A242</f>
        <v>2.14.33</v>
      </c>
      <c r="B472" s="539" t="str">
        <f>PO_CPE!D242</f>
        <v xml:space="preserve">CORREIA DE BORRACHA PARA VENTILADOR DE FANCOIL </v>
      </c>
      <c r="C472" s="384" t="str">
        <f>PO_CPE!E242</f>
        <v>UNID.</v>
      </c>
      <c r="D472" s="151"/>
      <c r="E472" s="69"/>
      <c r="F472" s="185"/>
      <c r="G472" s="140"/>
      <c r="H472" s="187">
        <f>+SUM(H473:H475)</f>
        <v>68.88</v>
      </c>
      <c r="I472" s="182"/>
      <c r="J472" s="183"/>
      <c r="K472" s="187"/>
      <c r="L472" s="197"/>
      <c r="M472" s="187">
        <f>SUM(M473:M474)</f>
        <v>32.94</v>
      </c>
      <c r="N472" s="202">
        <f>+IF(A472&gt;0,SUM(H472:M472),0)</f>
        <v>101.82</v>
      </c>
      <c r="O472" s="251"/>
    </row>
    <row r="473" spans="1:15" s="14" customFormat="1" ht="54" x14ac:dyDescent="0.3">
      <c r="A473" s="154"/>
      <c r="B473" s="153"/>
      <c r="C473" s="155"/>
      <c r="D473" s="37" t="s">
        <v>515</v>
      </c>
      <c r="E473" s="38" t="str">
        <f>+VLOOKUP(D473,Insumos_MAT!$B$8:$G$16489,2,0)</f>
        <v>UNID.</v>
      </c>
      <c r="F473" s="184">
        <f>+VLOOKUP(D473,Insumos_MAT!$B$8:$G$16489,6,0)</f>
        <v>68.88</v>
      </c>
      <c r="G473" s="141">
        <v>1</v>
      </c>
      <c r="H473" s="184">
        <f>F473*G473</f>
        <v>68.88</v>
      </c>
      <c r="I473" s="37" t="s">
        <v>587</v>
      </c>
      <c r="J473" s="39" t="str">
        <f>+VLOOKUP(I473,Insumos_MO!$B$8:$F$3741,2,0)</f>
        <v>H</v>
      </c>
      <c r="K473" s="184">
        <f>+VLOOKUP(I473,Insumos_MO!$B$8:$G$18183,5,0)</f>
        <v>23.09</v>
      </c>
      <c r="L473" s="198">
        <v>0.75</v>
      </c>
      <c r="M473" s="184">
        <f>+ROUND(K473*L473,2)</f>
        <v>17.32</v>
      </c>
      <c r="N473" s="203"/>
    </row>
    <row r="474" spans="1:15" s="24" customFormat="1" ht="54" x14ac:dyDescent="0.35">
      <c r="A474" s="154"/>
      <c r="B474" s="37"/>
      <c r="C474" s="156"/>
      <c r="D474" s="37"/>
      <c r="E474" s="38"/>
      <c r="F474" s="184"/>
      <c r="G474" s="141"/>
      <c r="H474" s="184"/>
      <c r="I474" s="37" t="s">
        <v>589</v>
      </c>
      <c r="J474" s="39" t="str">
        <f>+VLOOKUP(I474,Insumos_MO!$B$8:$F$3741,2,0)</f>
        <v>H</v>
      </c>
      <c r="K474" s="184">
        <f>+VLOOKUP(I474,Insumos_MO!$B$8:$G$18183,5,0)</f>
        <v>20.83</v>
      </c>
      <c r="L474" s="198">
        <v>0.75</v>
      </c>
      <c r="M474" s="184">
        <f>+ROUND(K474*L474,2)</f>
        <v>15.62</v>
      </c>
      <c r="N474" s="205"/>
    </row>
    <row r="475" spans="1:15" s="24" customFormat="1" x14ac:dyDescent="0.35">
      <c r="A475" s="154"/>
      <c r="B475" s="37"/>
      <c r="C475" s="156"/>
      <c r="D475" s="37"/>
      <c r="E475" s="38"/>
      <c r="F475" s="184"/>
      <c r="G475" s="141"/>
      <c r="H475" s="184"/>
      <c r="I475" s="37"/>
      <c r="J475" s="39"/>
      <c r="K475" s="184"/>
      <c r="L475" s="198"/>
      <c r="M475" s="184"/>
      <c r="N475" s="205"/>
    </row>
    <row r="476" spans="1:15" ht="27.75" x14ac:dyDescent="0.35">
      <c r="A476" s="149" t="str">
        <f>PO_CPE!A243</f>
        <v>2.14.34</v>
      </c>
      <c r="B476" s="539" t="str">
        <f>PO_CPE!D243</f>
        <v xml:space="preserve">MEDIÇÃO E BALANCEAMENTO DAS VAZÕES CONFORME PROJETO </v>
      </c>
      <c r="C476" s="384" t="str">
        <f>PO_CPE!E243</f>
        <v>UNID.</v>
      </c>
      <c r="D476" s="151"/>
      <c r="E476" s="69"/>
      <c r="F476" s="185"/>
      <c r="G476" s="140"/>
      <c r="H476" s="187"/>
      <c r="I476" s="182"/>
      <c r="J476" s="183"/>
      <c r="K476" s="187"/>
      <c r="L476" s="197"/>
      <c r="M476" s="187">
        <f>SUM(M477:M478)</f>
        <v>878.40000000000009</v>
      </c>
      <c r="N476" s="202">
        <f>+IF(A476&gt;0,SUM(H476:M476),0)</f>
        <v>878.40000000000009</v>
      </c>
      <c r="O476" s="251"/>
    </row>
    <row r="477" spans="1:15" s="14" customFormat="1" ht="54" x14ac:dyDescent="0.3">
      <c r="A477" s="154"/>
      <c r="B477" s="153"/>
      <c r="C477" s="155"/>
      <c r="D477" s="37"/>
      <c r="E477" s="38"/>
      <c r="F477" s="184"/>
      <c r="G477" s="141"/>
      <c r="H477" s="184"/>
      <c r="I477" s="37" t="s">
        <v>587</v>
      </c>
      <c r="J477" s="39" t="str">
        <f>+VLOOKUP(I477,Insumos_MO!$B$8:$F$3741,2,0)</f>
        <v>H</v>
      </c>
      <c r="K477" s="184">
        <f>+VLOOKUP(I477,Insumos_MO!$B$8:$G$18183,5,0)</f>
        <v>23.09</v>
      </c>
      <c r="L477" s="198">
        <v>20</v>
      </c>
      <c r="M477" s="184">
        <f>+ROUND(K477*L477,2)</f>
        <v>461.8</v>
      </c>
      <c r="N477" s="203"/>
    </row>
    <row r="478" spans="1:15" s="24" customFormat="1" ht="54" x14ac:dyDescent="0.35">
      <c r="A478" s="154"/>
      <c r="B478" s="37"/>
      <c r="C478" s="156"/>
      <c r="D478" s="37"/>
      <c r="E478" s="38"/>
      <c r="F478" s="184"/>
      <c r="G478" s="141"/>
      <c r="H478" s="184"/>
      <c r="I478" s="37" t="s">
        <v>589</v>
      </c>
      <c r="J478" s="39" t="str">
        <f>+VLOOKUP(I478,Insumos_MO!$B$8:$F$3741,2,0)</f>
        <v>H</v>
      </c>
      <c r="K478" s="184">
        <f>+VLOOKUP(I478,Insumos_MO!$B$8:$G$18183,5,0)</f>
        <v>20.83</v>
      </c>
      <c r="L478" s="198">
        <v>20</v>
      </c>
      <c r="M478" s="184">
        <f>+ROUND(K478*L478,2)</f>
        <v>416.6</v>
      </c>
      <c r="N478" s="205"/>
    </row>
    <row r="479" spans="1:15" s="24" customFormat="1" x14ac:dyDescent="0.35">
      <c r="A479" s="154"/>
      <c r="B479" s="37"/>
      <c r="C479" s="156"/>
      <c r="D479" s="37"/>
      <c r="E479" s="38"/>
      <c r="F479" s="184"/>
      <c r="G479" s="141"/>
      <c r="H479" s="184"/>
      <c r="I479" s="37"/>
      <c r="J479" s="39"/>
      <c r="K479" s="184"/>
      <c r="L479" s="198"/>
      <c r="M479" s="184"/>
      <c r="N479" s="205"/>
    </row>
    <row r="480" spans="1:15" ht="27.75" x14ac:dyDescent="0.35">
      <c r="A480" s="149" t="str">
        <f>PO_CPE!A244</f>
        <v>2.14.35</v>
      </c>
      <c r="B480" s="539" t="str">
        <f>PO_CPE!D244</f>
        <v xml:space="preserve">EMISSÃO E RECOLHIMENTO DE ART DE EXECUÇÃO </v>
      </c>
      <c r="C480" s="384" t="str">
        <f>PO_CPE!E244</f>
        <v>UNID.</v>
      </c>
      <c r="D480" s="151"/>
      <c r="E480" s="69"/>
      <c r="F480" s="185"/>
      <c r="G480" s="140"/>
      <c r="H480" s="187"/>
      <c r="I480" s="182"/>
      <c r="J480" s="183"/>
      <c r="K480" s="187"/>
      <c r="L480" s="197"/>
      <c r="M480" s="187">
        <f>SUM(M481:M481)</f>
        <v>268.43</v>
      </c>
      <c r="N480" s="202">
        <f>+IF(A480&gt;0,SUM(H480:M480),0)</f>
        <v>268.43</v>
      </c>
      <c r="O480" s="251"/>
    </row>
    <row r="481" spans="1:15" s="14" customFormat="1" ht="54" x14ac:dyDescent="0.3">
      <c r="A481" s="154"/>
      <c r="B481" s="153"/>
      <c r="C481" s="155"/>
      <c r="D481" s="37"/>
      <c r="E481" s="38"/>
      <c r="F481" s="184"/>
      <c r="G481" s="141"/>
      <c r="H481" s="184"/>
      <c r="I481" s="37" t="s">
        <v>591</v>
      </c>
      <c r="J481" s="39" t="str">
        <f>+VLOOKUP(I481,Insumos_MO!$B$8:$F$3741,2,0)</f>
        <v>H</v>
      </c>
      <c r="K481" s="184">
        <f>+VLOOKUP(I481,Insumos_MO!$B$8:$G$18183,5,0)</f>
        <v>107.37</v>
      </c>
      <c r="L481" s="198">
        <v>2.5</v>
      </c>
      <c r="M481" s="184">
        <f>+ROUND(K481*L481,2)</f>
        <v>268.43</v>
      </c>
      <c r="N481" s="203"/>
    </row>
    <row r="482" spans="1:15" s="24" customFormat="1" x14ac:dyDescent="0.35">
      <c r="A482" s="154"/>
      <c r="B482" s="37"/>
      <c r="C482" s="156"/>
      <c r="D482" s="37"/>
      <c r="E482" s="38"/>
      <c r="F482" s="184"/>
      <c r="G482" s="141"/>
      <c r="H482" s="184"/>
      <c r="I482" s="37"/>
      <c r="J482" s="39"/>
      <c r="K482" s="184"/>
      <c r="L482" s="198"/>
      <c r="M482" s="184"/>
      <c r="N482" s="205"/>
    </row>
    <row r="483" spans="1:15" ht="27.75" x14ac:dyDescent="0.35">
      <c r="A483" s="149" t="str">
        <f>PO_CPE!A246</f>
        <v>2.15.1</v>
      </c>
      <c r="B483" s="539" t="str">
        <f>PO_CPE!D246</f>
        <v>MISTURADOR MONOCOMANDO CROMADO</v>
      </c>
      <c r="C483" s="384" t="str">
        <f>PO_CPE!E246</f>
        <v>UNID.</v>
      </c>
      <c r="D483" s="151"/>
      <c r="E483" s="69"/>
      <c r="F483" s="185"/>
      <c r="G483" s="140"/>
      <c r="H483" s="187">
        <f>+SUM(H484:H485)</f>
        <v>690.04970000000003</v>
      </c>
      <c r="I483" s="182"/>
      <c r="J483" s="183"/>
      <c r="K483" s="187"/>
      <c r="L483" s="197"/>
      <c r="M483" s="187">
        <f>SUM(M484:M485)</f>
        <v>17.989999999999998</v>
      </c>
      <c r="N483" s="202">
        <f>+IF(A483&gt;0,SUM(H483:M483),0)</f>
        <v>708.03970000000004</v>
      </c>
      <c r="O483" s="251"/>
    </row>
    <row r="484" spans="1:15" s="14" customFormat="1" ht="54" x14ac:dyDescent="0.3">
      <c r="A484" s="154"/>
      <c r="B484" s="153"/>
      <c r="C484" s="155"/>
      <c r="D484" s="37" t="s">
        <v>611</v>
      </c>
      <c r="E484" s="38" t="str">
        <f>+VLOOKUP(D484,Insumos_MAT!$B$8:$G$16489,2,0)</f>
        <v>UNID.</v>
      </c>
      <c r="F484" s="184">
        <f>+VLOOKUP(D484,Insumos_MAT!$B$8:$G$16489,6,0)</f>
        <v>4.99</v>
      </c>
      <c r="G484" s="141">
        <v>0.03</v>
      </c>
      <c r="H484" s="184">
        <f>F484*G484</f>
        <v>0.1497</v>
      </c>
      <c r="I484" s="37" t="s">
        <v>150</v>
      </c>
      <c r="J484" s="39" t="str">
        <f>+VLOOKUP(I484,Insumos_MO!$B$8:$F$3741,2,0)</f>
        <v>H</v>
      </c>
      <c r="K484" s="184">
        <f>+VLOOKUP(I484,Insumos_MO!$B$8:$G$18183,5,0)</f>
        <v>20.39</v>
      </c>
      <c r="L484" s="198">
        <v>0.5</v>
      </c>
      <c r="M484" s="184">
        <f>+ROUND(K484*L484,2)</f>
        <v>10.199999999999999</v>
      </c>
      <c r="N484" s="203"/>
    </row>
    <row r="485" spans="1:15" s="24" customFormat="1" ht="67.5" x14ac:dyDescent="0.35">
      <c r="A485" s="154"/>
      <c r="B485" s="37"/>
      <c r="C485" s="156"/>
      <c r="D485" s="37" t="s">
        <v>751</v>
      </c>
      <c r="E485" s="38" t="str">
        <f>+VLOOKUP(D485,Insumos_MAT!$B$8:$G$16489,2,0)</f>
        <v>UNID.</v>
      </c>
      <c r="F485" s="184">
        <f>+VLOOKUP(D485,Insumos_MAT!$B$8:$G$16489,6,0)</f>
        <v>689.9</v>
      </c>
      <c r="G485" s="141">
        <v>1</v>
      </c>
      <c r="H485" s="184">
        <f>F485*G485</f>
        <v>689.9</v>
      </c>
      <c r="I485" s="37" t="s">
        <v>577</v>
      </c>
      <c r="J485" s="39" t="str">
        <f>+VLOOKUP(I485,Insumos_MO!$B$8:$F$3741,2,0)</f>
        <v>H</v>
      </c>
      <c r="K485" s="184">
        <f>+VLOOKUP(I485,Insumos_MO!$B$8:$G$18183,5,0)</f>
        <v>15.58</v>
      </c>
      <c r="L485" s="198">
        <v>0.5</v>
      </c>
      <c r="M485" s="184">
        <f>+ROUND(K485*L485,2)</f>
        <v>7.79</v>
      </c>
      <c r="N485" s="205"/>
    </row>
    <row r="486" spans="1:15" s="24" customFormat="1" x14ac:dyDescent="0.35">
      <c r="A486" s="154"/>
      <c r="B486" s="37"/>
      <c r="C486" s="156"/>
      <c r="D486" s="37"/>
      <c r="E486" s="38"/>
      <c r="F486" s="184"/>
      <c r="G486" s="141"/>
      <c r="H486" s="184"/>
      <c r="I486" s="37"/>
      <c r="J486" s="39"/>
      <c r="K486" s="184"/>
      <c r="L486" s="198"/>
      <c r="M486" s="184"/>
      <c r="N486" s="205"/>
    </row>
    <row r="487" spans="1:15" ht="27.75" x14ac:dyDescent="0.35">
      <c r="A487" s="149" t="str">
        <f>PO_CPE!A247</f>
        <v>2.15.2</v>
      </c>
      <c r="B487" s="539" t="str">
        <f>PO_CPE!D247</f>
        <v>MISTURADOR CLÍNICO MONOCOMANDO - ANTECÂMARA</v>
      </c>
      <c r="C487" s="384" t="str">
        <f>PO_CPE!E247</f>
        <v>UNID.</v>
      </c>
      <c r="D487" s="151"/>
      <c r="E487" s="69"/>
      <c r="F487" s="185"/>
      <c r="G487" s="140"/>
      <c r="H487" s="187">
        <f>+SUM(H488:H489)</f>
        <v>949.3497000000001</v>
      </c>
      <c r="I487" s="182"/>
      <c r="J487" s="183"/>
      <c r="K487" s="187"/>
      <c r="L487" s="197"/>
      <c r="M487" s="187">
        <f>SUM(M488:M489)</f>
        <v>17.989999999999998</v>
      </c>
      <c r="N487" s="202">
        <f>+IF(A487&gt;0,SUM(H487:M487),0)</f>
        <v>967.33970000000011</v>
      </c>
      <c r="O487" s="251"/>
    </row>
    <row r="488" spans="1:15" s="14" customFormat="1" ht="54" x14ac:dyDescent="0.3">
      <c r="A488" s="154"/>
      <c r="B488" s="153"/>
      <c r="C488" s="155"/>
      <c r="D488" s="37" t="s">
        <v>611</v>
      </c>
      <c r="E488" s="38" t="str">
        <f>+VLOOKUP(D488,Insumos_MAT!$B$8:$G$16489,2,0)</f>
        <v>UNID.</v>
      </c>
      <c r="F488" s="184">
        <f>+VLOOKUP(D488,Insumos_MAT!$B$8:$G$16489,6,0)</f>
        <v>4.99</v>
      </c>
      <c r="G488" s="141">
        <v>0.03</v>
      </c>
      <c r="H488" s="184">
        <f>F488*G488</f>
        <v>0.1497</v>
      </c>
      <c r="I488" s="37" t="s">
        <v>150</v>
      </c>
      <c r="J488" s="39" t="str">
        <f>+VLOOKUP(I488,Insumos_MO!$B$8:$F$3741,2,0)</f>
        <v>H</v>
      </c>
      <c r="K488" s="184">
        <f>+VLOOKUP(I488,Insumos_MO!$B$8:$G$18183,5,0)</f>
        <v>20.39</v>
      </c>
      <c r="L488" s="198">
        <v>0.5</v>
      </c>
      <c r="M488" s="184">
        <f>+ROUND(K488*L488,2)</f>
        <v>10.199999999999999</v>
      </c>
      <c r="N488" s="203"/>
    </row>
    <row r="489" spans="1:15" s="24" customFormat="1" ht="67.5" x14ac:dyDescent="0.35">
      <c r="A489" s="154"/>
      <c r="B489" s="37"/>
      <c r="C489" s="156"/>
      <c r="D489" s="37" t="s">
        <v>924</v>
      </c>
      <c r="E489" s="38" t="str">
        <f>+VLOOKUP(D489,Insumos_MAT!$B$8:$G$16489,2,0)</f>
        <v>UNID.</v>
      </c>
      <c r="F489" s="184">
        <f>+VLOOKUP(D489,Insumos_MAT!$B$8:$G$16489,6,0)</f>
        <v>949.2</v>
      </c>
      <c r="G489" s="141">
        <v>1</v>
      </c>
      <c r="H489" s="184">
        <f>F489*G489</f>
        <v>949.2</v>
      </c>
      <c r="I489" s="37" t="s">
        <v>577</v>
      </c>
      <c r="J489" s="39" t="str">
        <f>+VLOOKUP(I489,Insumos_MO!$B$8:$F$3741,2,0)</f>
        <v>H</v>
      </c>
      <c r="K489" s="184">
        <f>+VLOOKUP(I489,Insumos_MO!$B$8:$G$18183,5,0)</f>
        <v>15.58</v>
      </c>
      <c r="L489" s="198">
        <v>0.5</v>
      </c>
      <c r="M489" s="184">
        <f>+ROUND(K489*L489,2)</f>
        <v>7.79</v>
      </c>
      <c r="N489" s="205"/>
    </row>
    <row r="490" spans="1:15" s="24" customFormat="1" x14ac:dyDescent="0.35">
      <c r="A490" s="154"/>
      <c r="B490" s="37"/>
      <c r="C490" s="156"/>
      <c r="D490" s="37"/>
      <c r="E490" s="38"/>
      <c r="F490" s="184"/>
      <c r="G490" s="141"/>
      <c r="H490" s="184"/>
      <c r="I490" s="37"/>
      <c r="J490" s="39"/>
      <c r="K490" s="184"/>
      <c r="L490" s="198"/>
      <c r="M490" s="184"/>
      <c r="N490" s="205"/>
    </row>
    <row r="491" spans="1:15" ht="41.25" x14ac:dyDescent="0.35">
      <c r="A491" s="149" t="str">
        <f>PO_CPE!A248</f>
        <v>2.15.3</v>
      </c>
      <c r="B491" s="539" t="str">
        <f>PO_CPE!D248</f>
        <v>MISTURADOR CLÍNICO MONOCOMANDO - SALA DE LAVAGEM</v>
      </c>
      <c r="C491" s="384" t="str">
        <f>PO_CPE!E248</f>
        <v>UNID.</v>
      </c>
      <c r="D491" s="151"/>
      <c r="E491" s="69"/>
      <c r="F491" s="185"/>
      <c r="G491" s="140"/>
      <c r="H491" s="187">
        <f>+SUM(H492:H493)</f>
        <v>991.3497000000001</v>
      </c>
      <c r="I491" s="182"/>
      <c r="J491" s="183"/>
      <c r="K491" s="187"/>
      <c r="L491" s="197"/>
      <c r="M491" s="187">
        <f>SUM(M492:M493)</f>
        <v>17.989999999999998</v>
      </c>
      <c r="N491" s="202">
        <f>+IF(A491&gt;0,SUM(H491:M491),0)</f>
        <v>1009.3397000000001</v>
      </c>
      <c r="O491" s="251"/>
    </row>
    <row r="492" spans="1:15" s="14" customFormat="1" ht="54" x14ac:dyDescent="0.3">
      <c r="A492" s="154"/>
      <c r="B492" s="153"/>
      <c r="C492" s="155"/>
      <c r="D492" s="37" t="s">
        <v>611</v>
      </c>
      <c r="E492" s="38" t="str">
        <f>+VLOOKUP(D492,Insumos_MAT!$B$8:$G$16489,2,0)</f>
        <v>UNID.</v>
      </c>
      <c r="F492" s="184">
        <f>+VLOOKUP(D492,Insumos_MAT!$B$8:$G$16489,6,0)</f>
        <v>4.99</v>
      </c>
      <c r="G492" s="141">
        <v>0.03</v>
      </c>
      <c r="H492" s="184">
        <f>F492*G492</f>
        <v>0.1497</v>
      </c>
      <c r="I492" s="37" t="s">
        <v>150</v>
      </c>
      <c r="J492" s="39" t="str">
        <f>+VLOOKUP(I492,Insumos_MO!$B$8:$F$3741,2,0)</f>
        <v>H</v>
      </c>
      <c r="K492" s="184">
        <f>+VLOOKUP(I492,Insumos_MO!$B$8:$G$18183,5,0)</f>
        <v>20.39</v>
      </c>
      <c r="L492" s="198">
        <v>0.5</v>
      </c>
      <c r="M492" s="184">
        <f>+ROUND(K492*L492,2)</f>
        <v>10.199999999999999</v>
      </c>
      <c r="N492" s="203"/>
    </row>
    <row r="493" spans="1:15" s="24" customFormat="1" ht="67.5" x14ac:dyDescent="0.35">
      <c r="A493" s="154"/>
      <c r="B493" s="37"/>
      <c r="C493" s="156"/>
      <c r="D493" s="37" t="s">
        <v>930</v>
      </c>
      <c r="E493" s="38" t="str">
        <f>+VLOOKUP(D493,Insumos_MAT!$B$8:$G$16489,2,0)</f>
        <v>UNID.</v>
      </c>
      <c r="F493" s="184">
        <f>+VLOOKUP(D493,Insumos_MAT!$B$8:$G$16489,6,0)</f>
        <v>991.2</v>
      </c>
      <c r="G493" s="141">
        <v>1</v>
      </c>
      <c r="H493" s="184">
        <f>F493*G493</f>
        <v>991.2</v>
      </c>
      <c r="I493" s="37" t="s">
        <v>577</v>
      </c>
      <c r="J493" s="39" t="str">
        <f>+VLOOKUP(I493,Insumos_MO!$B$8:$F$3741,2,0)</f>
        <v>H</v>
      </c>
      <c r="K493" s="184">
        <f>+VLOOKUP(I493,Insumos_MO!$B$8:$G$18183,5,0)</f>
        <v>15.58</v>
      </c>
      <c r="L493" s="198">
        <v>0.5</v>
      </c>
      <c r="M493" s="184">
        <f>+ROUND(K493*L493,2)</f>
        <v>7.79</v>
      </c>
      <c r="N493" s="205"/>
    </row>
    <row r="494" spans="1:15" s="24" customFormat="1" x14ac:dyDescent="0.35">
      <c r="A494" s="154"/>
      <c r="B494" s="37"/>
      <c r="C494" s="156"/>
      <c r="D494" s="37"/>
      <c r="E494" s="38"/>
      <c r="F494" s="184"/>
      <c r="G494" s="141"/>
      <c r="H494" s="184"/>
      <c r="I494" s="37"/>
      <c r="J494" s="39"/>
      <c r="K494" s="184"/>
      <c r="L494" s="198"/>
      <c r="M494" s="184"/>
      <c r="N494" s="205"/>
    </row>
    <row r="495" spans="1:15" ht="27.75" x14ac:dyDescent="0.35">
      <c r="A495" s="149" t="str">
        <f>PO_CPE!A249</f>
        <v>2.15.4</v>
      </c>
      <c r="B495" s="539" t="str">
        <f>PO_CPE!D249</f>
        <v>LAVATÓRIO LOUÇA COM COLUNA SUSPENSA</v>
      </c>
      <c r="C495" s="384" t="str">
        <f>PO_CPE!E249</f>
        <v>UNID.</v>
      </c>
      <c r="D495" s="151"/>
      <c r="E495" s="69"/>
      <c r="F495" s="185"/>
      <c r="G495" s="140"/>
      <c r="H495" s="187">
        <f>+SUM(H496:H502)</f>
        <v>744.76440000000002</v>
      </c>
      <c r="I495" s="182"/>
      <c r="J495" s="183"/>
      <c r="K495" s="187"/>
      <c r="L495" s="197"/>
      <c r="M495" s="187">
        <f>SUM(M496:M497)</f>
        <v>46.17</v>
      </c>
      <c r="N495" s="202">
        <f>+IF(A495&gt;0,SUM(H495:M495),0)</f>
        <v>790.93439999999998</v>
      </c>
      <c r="O495" s="251"/>
    </row>
    <row r="496" spans="1:15" s="14" customFormat="1" ht="54" x14ac:dyDescent="0.3">
      <c r="A496" s="154"/>
      <c r="B496" s="153"/>
      <c r="C496" s="155"/>
      <c r="D496" s="37" t="s">
        <v>611</v>
      </c>
      <c r="E496" s="38" t="str">
        <f>+VLOOKUP(D496,Insumos_MAT!$B$8:$G$16489,2,0)</f>
        <v>UNID.</v>
      </c>
      <c r="F496" s="184">
        <f>+VLOOKUP(D496,Insumos_MAT!$B$8:$G$16489,6,0)</f>
        <v>4.99</v>
      </c>
      <c r="G496" s="141">
        <v>0.05</v>
      </c>
      <c r="H496" s="184">
        <f>F496*G496</f>
        <v>0.24950000000000003</v>
      </c>
      <c r="I496" s="37" t="s">
        <v>150</v>
      </c>
      <c r="J496" s="39" t="str">
        <f>+VLOOKUP(I496,Insumos_MO!$B$8:$F$3741,2,0)</f>
        <v>H</v>
      </c>
      <c r="K496" s="184">
        <f>+VLOOKUP(I496,Insumos_MO!$B$8:$G$18183,5,0)</f>
        <v>20.39</v>
      </c>
      <c r="L496" s="198">
        <v>1.5</v>
      </c>
      <c r="M496" s="184">
        <f>+ROUND(K496*L496,2)</f>
        <v>30.59</v>
      </c>
      <c r="N496" s="203"/>
    </row>
    <row r="497" spans="1:15" s="24" customFormat="1" ht="67.5" x14ac:dyDescent="0.35">
      <c r="A497" s="154"/>
      <c r="B497" s="37"/>
      <c r="C497" s="156"/>
      <c r="D497" s="37" t="s">
        <v>613</v>
      </c>
      <c r="E497" s="38" t="str">
        <f>+VLOOKUP(D497,Insumos_MAT!$B$8:$G$16489,2,0)</f>
        <v>UNID.</v>
      </c>
      <c r="F497" s="184">
        <f>+VLOOKUP(D497,Insumos_MAT!$B$8:$G$16489,6,0)</f>
        <v>51.5</v>
      </c>
      <c r="G497" s="141">
        <v>1</v>
      </c>
      <c r="H497" s="184">
        <f>F497*G497</f>
        <v>51.5</v>
      </c>
      <c r="I497" s="37" t="s">
        <v>577</v>
      </c>
      <c r="J497" s="39" t="str">
        <f>+VLOOKUP(I497,Insumos_MO!$B$8:$F$3741,2,0)</f>
        <v>H</v>
      </c>
      <c r="K497" s="184">
        <f>+VLOOKUP(I497,Insumos_MO!$B$8:$G$18183,5,0)</f>
        <v>15.58</v>
      </c>
      <c r="L497" s="198">
        <v>1</v>
      </c>
      <c r="M497" s="184">
        <f>+ROUND(K497*L497,2)</f>
        <v>15.58</v>
      </c>
      <c r="N497" s="205"/>
    </row>
    <row r="498" spans="1:15" s="24" customFormat="1" ht="40.5" x14ac:dyDescent="0.35">
      <c r="A498" s="154"/>
      <c r="B498" s="37"/>
      <c r="C498" s="156"/>
      <c r="D498" s="37" t="s">
        <v>931</v>
      </c>
      <c r="E498" s="38" t="str">
        <f>+VLOOKUP(D498,Insumos_MAT!$B$8:$G$16489,2,0)</f>
        <v>UNID.</v>
      </c>
      <c r="F498" s="184">
        <f>+VLOOKUP(D498,Insumos_MAT!$B$8:$G$16489,6,0)</f>
        <v>206</v>
      </c>
      <c r="G498" s="141">
        <v>1</v>
      </c>
      <c r="H498" s="184">
        <f>F498*G498</f>
        <v>206</v>
      </c>
      <c r="I498" s="37"/>
      <c r="J498" s="39"/>
      <c r="K498" s="184"/>
      <c r="L498" s="198"/>
      <c r="M498" s="184"/>
      <c r="N498" s="205"/>
    </row>
    <row r="499" spans="1:15" s="24" customFormat="1" ht="94.5" x14ac:dyDescent="0.35">
      <c r="A499" s="154"/>
      <c r="B499" s="37"/>
      <c r="C499" s="156"/>
      <c r="D499" s="37" t="s">
        <v>617</v>
      </c>
      <c r="E499" s="38" t="str">
        <f>+VLOOKUP(D499,Insumos_MAT!$B$8:$G$16489,2,0)</f>
        <v>UNID.</v>
      </c>
      <c r="F499" s="184">
        <f>+VLOOKUP(D499,Insumos_MAT!$B$8:$G$16489,6,0)</f>
        <v>10.4</v>
      </c>
      <c r="G499" s="141">
        <v>2</v>
      </c>
      <c r="H499" s="184">
        <f>F499*G499</f>
        <v>20.8</v>
      </c>
      <c r="I499" s="37"/>
      <c r="J499" s="39"/>
      <c r="K499" s="184"/>
      <c r="L499" s="198"/>
      <c r="M499" s="184"/>
      <c r="N499" s="205"/>
    </row>
    <row r="500" spans="1:15" s="24" customFormat="1" ht="54" x14ac:dyDescent="0.35">
      <c r="A500" s="154"/>
      <c r="B500" s="37"/>
      <c r="C500" s="156"/>
      <c r="D500" s="37" t="s">
        <v>615</v>
      </c>
      <c r="E500" s="38" t="str">
        <f>+VLOOKUP(D500,Insumos_MAT!$B$8:$G$16489,2,0)</f>
        <v>UNID.</v>
      </c>
      <c r="F500" s="184">
        <f>+VLOOKUP(D500,Insumos_MAT!$B$8:$G$16489,6,0)</f>
        <v>4.91</v>
      </c>
      <c r="G500" s="141">
        <v>1</v>
      </c>
      <c r="H500" s="184">
        <f>F500*G500</f>
        <v>4.91</v>
      </c>
      <c r="I500" s="37"/>
      <c r="J500" s="39"/>
      <c r="K500" s="184"/>
      <c r="L500" s="198"/>
      <c r="M500" s="184"/>
      <c r="N500" s="205"/>
    </row>
    <row r="501" spans="1:15" s="24" customFormat="1" ht="67.5" x14ac:dyDescent="0.35">
      <c r="A501" s="154"/>
      <c r="B501" s="37"/>
      <c r="C501" s="156"/>
      <c r="D501" s="37" t="s">
        <v>750</v>
      </c>
      <c r="E501" s="38" t="str">
        <f>+VLOOKUP(D501,Insumos_MAT!$B$8:$G$16489,2,0)</f>
        <v>UNID.</v>
      </c>
      <c r="F501" s="184">
        <f>+VLOOKUP(D501,Insumos_MAT!$B$8:$G$16489,6,0)</f>
        <v>459.45</v>
      </c>
      <c r="G501" s="141">
        <v>1</v>
      </c>
      <c r="H501" s="184">
        <f t="shared" ref="H501:H502" si="14">F501*G501</f>
        <v>459.45</v>
      </c>
      <c r="I501" s="37"/>
      <c r="J501" s="39"/>
      <c r="K501" s="184"/>
      <c r="L501" s="198"/>
      <c r="M501" s="184"/>
      <c r="N501" s="205"/>
    </row>
    <row r="502" spans="1:15" s="24" customFormat="1" ht="27" x14ac:dyDescent="0.35">
      <c r="A502" s="154"/>
      <c r="B502" s="37"/>
      <c r="C502" s="156"/>
      <c r="D502" s="37" t="s">
        <v>618</v>
      </c>
      <c r="E502" s="38" t="str">
        <f>+VLOOKUP(D502,Insumos_MAT!$B$8:$G$16489,2,0)</f>
        <v>KG</v>
      </c>
      <c r="F502" s="184">
        <f>+VLOOKUP(D502,Insumos_MAT!$B$8:$G$16489,6,0)</f>
        <v>61.83</v>
      </c>
      <c r="G502" s="141">
        <v>0.03</v>
      </c>
      <c r="H502" s="184">
        <f t="shared" si="14"/>
        <v>1.8548999999999998</v>
      </c>
      <c r="I502" s="37"/>
      <c r="J502" s="39"/>
      <c r="K502" s="184"/>
      <c r="L502" s="198"/>
      <c r="M502" s="184"/>
      <c r="N502" s="205"/>
    </row>
    <row r="503" spans="1:15" s="24" customFormat="1" x14ac:dyDescent="0.35">
      <c r="A503" s="154"/>
      <c r="B503" s="37"/>
      <c r="C503" s="156"/>
      <c r="D503" s="37"/>
      <c r="E503" s="38"/>
      <c r="F503" s="184"/>
      <c r="G503" s="141"/>
      <c r="H503" s="184"/>
      <c r="I503" s="37"/>
      <c r="J503" s="39"/>
      <c r="K503" s="184"/>
      <c r="L503" s="198"/>
      <c r="M503" s="184"/>
      <c r="N503" s="205"/>
    </row>
    <row r="504" spans="1:15" ht="27.75" x14ac:dyDescent="0.35">
      <c r="A504" s="149" t="str">
        <f>PO_CPE!A250</f>
        <v>2.15.5</v>
      </c>
      <c r="B504" s="539" t="str">
        <f>PO_CPE!D250</f>
        <v>TAMPO INOX COM CUBA DUPLA 181X60CM</v>
      </c>
      <c r="C504" s="384" t="str">
        <f>PO_CPE!E250</f>
        <v>UNID.</v>
      </c>
      <c r="D504" s="151"/>
      <c r="E504" s="69"/>
      <c r="F504" s="185"/>
      <c r="G504" s="140"/>
      <c r="H504" s="187">
        <f>+SUM(H505:H507)</f>
        <v>2532.6999999999998</v>
      </c>
      <c r="I504" s="182"/>
      <c r="J504" s="183"/>
      <c r="K504" s="187"/>
      <c r="L504" s="197"/>
      <c r="M504" s="187">
        <f>SUM(M505:M506)</f>
        <v>71.94</v>
      </c>
      <c r="N504" s="202">
        <f>+IF(A504&gt;0,SUM(H504:M504),0)</f>
        <v>2604.64</v>
      </c>
      <c r="O504" s="251"/>
    </row>
    <row r="505" spans="1:15" s="14" customFormat="1" ht="54" x14ac:dyDescent="0.3">
      <c r="A505" s="154"/>
      <c r="B505" s="153"/>
      <c r="C505" s="155"/>
      <c r="D505" s="37" t="s">
        <v>925</v>
      </c>
      <c r="E505" s="38" t="str">
        <f>+VLOOKUP(D505,Insumos_MAT!$B$8:$G$16489,2,0)</f>
        <v>UNID.</v>
      </c>
      <c r="F505" s="184">
        <f>+VLOOKUP(D505,Insumos_MAT!$B$8:$G$16489,6,0)</f>
        <v>1980</v>
      </c>
      <c r="G505" s="141">
        <v>1</v>
      </c>
      <c r="H505" s="184">
        <f>F505*G505</f>
        <v>1980</v>
      </c>
      <c r="I505" s="37" t="s">
        <v>150</v>
      </c>
      <c r="J505" s="39" t="str">
        <f>+VLOOKUP(I505,Insumos_MO!$B$8:$F$3741,2,0)</f>
        <v>H</v>
      </c>
      <c r="K505" s="184">
        <f>+VLOOKUP(I505,Insumos_MO!$B$8:$G$18183,5,0)</f>
        <v>20.39</v>
      </c>
      <c r="L505" s="198">
        <v>2</v>
      </c>
      <c r="M505" s="184">
        <f>+ROUND(K505*L505,2)</f>
        <v>40.78</v>
      </c>
      <c r="N505" s="203"/>
    </row>
    <row r="506" spans="1:15" s="24" customFormat="1" ht="67.5" x14ac:dyDescent="0.35">
      <c r="A506" s="154"/>
      <c r="B506" s="37"/>
      <c r="C506" s="156"/>
      <c r="D506" s="37" t="s">
        <v>931</v>
      </c>
      <c r="E506" s="38" t="str">
        <f>+VLOOKUP(D506,Insumos_MAT!$B$8:$G$16489,2,0)</f>
        <v>UNID.</v>
      </c>
      <c r="F506" s="184">
        <f>+VLOOKUP(D506,Insumos_MAT!$B$8:$G$16489,6,0)</f>
        <v>206</v>
      </c>
      <c r="G506" s="141">
        <v>2</v>
      </c>
      <c r="H506" s="184">
        <f t="shared" ref="H506:H507" si="15">F506*G506</f>
        <v>412</v>
      </c>
      <c r="I506" s="37" t="s">
        <v>577</v>
      </c>
      <c r="J506" s="39" t="str">
        <f>+VLOOKUP(I506,Insumos_MO!$B$8:$F$3741,2,0)</f>
        <v>H</v>
      </c>
      <c r="K506" s="184">
        <f>+VLOOKUP(I506,Insumos_MO!$B$8:$G$18183,5,0)</f>
        <v>15.58</v>
      </c>
      <c r="L506" s="198">
        <v>2</v>
      </c>
      <c r="M506" s="184">
        <f>+ROUND(K506*L506,2)</f>
        <v>31.16</v>
      </c>
      <c r="N506" s="205"/>
    </row>
    <row r="507" spans="1:15" s="24" customFormat="1" ht="27" x14ac:dyDescent="0.35">
      <c r="A507" s="154"/>
      <c r="B507" s="37"/>
      <c r="C507" s="156"/>
      <c r="D507" s="37" t="s">
        <v>934</v>
      </c>
      <c r="E507" s="38" t="str">
        <f>+VLOOKUP(D507,Insumos_MAT!$B$8:$G$16489,2,0)</f>
        <v>UNID.</v>
      </c>
      <c r="F507" s="184">
        <f>+VLOOKUP(D507,Insumos_MAT!$B$8:$G$16489,6,0)</f>
        <v>70.349999999999994</v>
      </c>
      <c r="G507" s="141">
        <v>2</v>
      </c>
      <c r="H507" s="184">
        <f t="shared" si="15"/>
        <v>140.69999999999999</v>
      </c>
      <c r="I507" s="37"/>
      <c r="J507" s="39"/>
      <c r="K507" s="184"/>
      <c r="L507" s="198"/>
      <c r="M507" s="184"/>
      <c r="N507" s="205"/>
    </row>
    <row r="508" spans="1:15" s="24" customFormat="1" x14ac:dyDescent="0.35">
      <c r="A508" s="154"/>
      <c r="B508" s="37"/>
      <c r="C508" s="156"/>
      <c r="D508" s="37"/>
      <c r="E508" s="38"/>
      <c r="F508" s="184"/>
      <c r="G508" s="141"/>
      <c r="H508" s="184"/>
      <c r="I508" s="37"/>
      <c r="J508" s="39"/>
      <c r="K508" s="184"/>
      <c r="L508" s="198"/>
      <c r="M508" s="184"/>
      <c r="N508" s="205"/>
    </row>
    <row r="509" spans="1:15" ht="27.75" x14ac:dyDescent="0.35">
      <c r="A509" s="149" t="str">
        <f>PO_CPE!A259</f>
        <v>2.16.6</v>
      </c>
      <c r="B509" s="539" t="str">
        <f>PO_CPE!D259</f>
        <v>REALOCAÇÃO DE EQUIPAMENTOS E MOBILIÁRIOS EXISTENTES</v>
      </c>
      <c r="C509" s="384" t="str">
        <f>PO_CPE!E259</f>
        <v>UNID.</v>
      </c>
      <c r="D509" s="151"/>
      <c r="E509" s="69"/>
      <c r="F509" s="185"/>
      <c r="G509" s="140"/>
      <c r="H509" s="187"/>
      <c r="I509" s="182"/>
      <c r="J509" s="183"/>
      <c r="K509" s="187"/>
      <c r="L509" s="197"/>
      <c r="M509" s="187">
        <f>SUM(M510:M510)</f>
        <v>1711</v>
      </c>
      <c r="N509" s="202">
        <f>+IF(A509&gt;0,SUM(H509:M509),0)</f>
        <v>1711</v>
      </c>
      <c r="O509" s="251"/>
    </row>
    <row r="510" spans="1:15" s="14" customFormat="1" ht="40.5" x14ac:dyDescent="0.3">
      <c r="A510" s="154"/>
      <c r="B510" s="153"/>
      <c r="C510" s="155"/>
      <c r="D510" s="37"/>
      <c r="E510" s="38"/>
      <c r="F510" s="184"/>
      <c r="G510" s="141"/>
      <c r="H510" s="184"/>
      <c r="I510" s="153" t="s">
        <v>116</v>
      </c>
      <c r="J510" s="39" t="str">
        <f>+VLOOKUP(I510,Insumos_MO!$B$8:$F$3723,2,0)</f>
        <v>H</v>
      </c>
      <c r="K510" s="184">
        <f>+VLOOKUP(I510,Insumos_MO!$B$8:$G$18165,5,0)</f>
        <v>17.11</v>
      </c>
      <c r="L510" s="198">
        <v>100</v>
      </c>
      <c r="M510" s="184">
        <f>+ROUND(K510*L510,2)</f>
        <v>1711</v>
      </c>
      <c r="N510" s="203"/>
    </row>
    <row r="511" spans="1:15" s="14" customFormat="1" ht="13.5" x14ac:dyDescent="0.3">
      <c r="A511" s="154"/>
      <c r="B511" s="153"/>
      <c r="C511" s="155"/>
      <c r="D511" s="37"/>
      <c r="E511" s="38"/>
      <c r="F511" s="184"/>
      <c r="G511" s="141"/>
      <c r="H511" s="184"/>
      <c r="I511" s="153"/>
      <c r="J511" s="39"/>
      <c r="K511" s="184"/>
      <c r="L511" s="198"/>
      <c r="M511" s="184"/>
      <c r="N511" s="206"/>
    </row>
    <row r="512" spans="1:15" x14ac:dyDescent="0.35">
      <c r="A512" s="149" t="str">
        <f>PO_CPE!A260</f>
        <v>2.16.7</v>
      </c>
      <c r="B512" s="539" t="str">
        <f>PO_CPE!D260</f>
        <v>LIMPEZA FINAL DE OBRA</v>
      </c>
      <c r="C512" s="384" t="str">
        <f>PO_CPE!E260</f>
        <v>M2</v>
      </c>
      <c r="D512" s="41"/>
      <c r="E512" s="41"/>
      <c r="F512" s="185"/>
      <c r="G512" s="140"/>
      <c r="H512" s="187">
        <f>SUM(H513:H513)</f>
        <v>1.0860000000000001</v>
      </c>
      <c r="I512" s="182"/>
      <c r="J512" s="183"/>
      <c r="K512" s="187"/>
      <c r="L512" s="197"/>
      <c r="M512" s="187">
        <f>+SUM(M513:M514)</f>
        <v>3.42</v>
      </c>
      <c r="N512" s="202">
        <f>+IF(A512&gt;0,SUM(H512:M512),0)</f>
        <v>4.5060000000000002</v>
      </c>
    </row>
    <row r="513" spans="1:14" s="14" customFormat="1" ht="40.5" x14ac:dyDescent="0.3">
      <c r="A513" s="154"/>
      <c r="B513" s="153"/>
      <c r="C513" s="155"/>
      <c r="D513" s="37" t="s">
        <v>129</v>
      </c>
      <c r="E513" s="38" t="str">
        <f>+VLOOKUP(D513,Insumos_MAT!$B$8:$G$16501,2,0)</f>
        <v>L</v>
      </c>
      <c r="F513" s="184">
        <f>+VLOOKUP(D513,Insumos_MAT!$B$8:$G$16501,6,0)</f>
        <v>7.24</v>
      </c>
      <c r="G513" s="141">
        <v>0.15</v>
      </c>
      <c r="H513" s="184">
        <f>F513*G513</f>
        <v>1.0860000000000001</v>
      </c>
      <c r="I513" s="153" t="s">
        <v>116</v>
      </c>
      <c r="J513" s="39" t="str">
        <f>+VLOOKUP(I513,Insumos_MO!$B$8:$F$3741,2,0)</f>
        <v>H</v>
      </c>
      <c r="K513" s="184">
        <f>+VLOOKUP(I513,Insumos_MO!$B$8:$G$18183,5,0)</f>
        <v>17.11</v>
      </c>
      <c r="L513" s="198">
        <v>0.2</v>
      </c>
      <c r="M513" s="184">
        <f>+ROUND(K513*L513,2)</f>
        <v>3.42</v>
      </c>
      <c r="N513" s="206"/>
    </row>
    <row r="514" spans="1:14" s="14" customFormat="1" ht="13.5" x14ac:dyDescent="0.3">
      <c r="A514" s="540"/>
      <c r="B514" s="537"/>
      <c r="C514" s="532"/>
      <c r="D514" s="536"/>
      <c r="E514" s="541"/>
      <c r="F514" s="542"/>
      <c r="G514" s="543"/>
      <c r="H514" s="542"/>
      <c r="I514" s="537"/>
      <c r="J514" s="544"/>
      <c r="K514" s="542"/>
      <c r="L514" s="545"/>
      <c r="M514" s="542"/>
      <c r="N514" s="546"/>
    </row>
    <row r="515" spans="1:14" x14ac:dyDescent="0.35">
      <c r="A515" s="24"/>
      <c r="B515" s="24"/>
      <c r="C515" s="24"/>
      <c r="D515" s="24"/>
      <c r="E515" s="24"/>
      <c r="F515" s="24"/>
      <c r="G515" s="24"/>
      <c r="H515" s="24"/>
      <c r="I515" s="193"/>
      <c r="J515" s="24"/>
      <c r="K515" s="194"/>
      <c r="L515" s="201"/>
      <c r="M515" s="194"/>
      <c r="N515" s="194"/>
    </row>
    <row r="516" spans="1:14" x14ac:dyDescent="0.35">
      <c r="A516" s="24"/>
      <c r="B516" s="24"/>
      <c r="C516" s="24"/>
      <c r="D516" s="24"/>
      <c r="E516" s="24"/>
      <c r="F516" s="24"/>
      <c r="G516" s="24"/>
      <c r="H516" s="24"/>
      <c r="I516" s="193"/>
      <c r="J516" s="24"/>
      <c r="K516" s="194"/>
      <c r="L516" s="201"/>
      <c r="M516" s="194"/>
      <c r="N516" s="194"/>
    </row>
    <row r="517" spans="1:14" x14ac:dyDescent="0.35">
      <c r="A517" s="24"/>
      <c r="B517" s="24"/>
      <c r="C517" s="24"/>
      <c r="D517" s="24"/>
      <c r="E517" s="24"/>
      <c r="F517" s="24"/>
      <c r="G517" s="24"/>
      <c r="H517" s="24"/>
      <c r="I517" s="193"/>
      <c r="J517" s="24"/>
      <c r="K517" s="194"/>
      <c r="L517" s="201"/>
      <c r="M517" s="194"/>
      <c r="N517" s="194"/>
    </row>
    <row r="518" spans="1:14" x14ac:dyDescent="0.35">
      <c r="A518" s="24"/>
      <c r="B518" s="24"/>
      <c r="C518" s="24"/>
      <c r="D518" s="24"/>
      <c r="E518" s="24"/>
      <c r="F518" s="24"/>
      <c r="G518" s="24"/>
      <c r="H518" s="24"/>
      <c r="I518" s="193"/>
      <c r="J518" s="24"/>
      <c r="K518" s="194"/>
      <c r="L518" s="201"/>
      <c r="M518" s="194"/>
      <c r="N518" s="194"/>
    </row>
    <row r="519" spans="1:14" x14ac:dyDescent="0.35">
      <c r="A519" s="24"/>
      <c r="B519" s="24"/>
      <c r="C519" s="24"/>
      <c r="D519" s="24"/>
      <c r="E519" s="24"/>
      <c r="F519" s="24"/>
      <c r="G519" s="24"/>
      <c r="H519" s="24"/>
      <c r="I519" s="193"/>
      <c r="J519" s="24"/>
      <c r="K519" s="194"/>
      <c r="L519" s="201"/>
      <c r="M519" s="194"/>
      <c r="N519" s="194"/>
    </row>
    <row r="520" spans="1:14" x14ac:dyDescent="0.35">
      <c r="A520" s="24"/>
      <c r="B520" s="24"/>
      <c r="C520" s="24"/>
      <c r="D520" s="24"/>
      <c r="E520" s="24"/>
      <c r="F520" s="24"/>
      <c r="G520" s="24"/>
      <c r="H520" s="24"/>
      <c r="I520" s="193"/>
      <c r="J520" s="24"/>
      <c r="K520" s="194"/>
      <c r="L520" s="201"/>
      <c r="M520" s="194"/>
      <c r="N520" s="194"/>
    </row>
    <row r="521" spans="1:14" x14ac:dyDescent="0.35">
      <c r="A521" s="24"/>
      <c r="B521" s="24"/>
      <c r="C521" s="24"/>
      <c r="D521" s="24"/>
      <c r="E521" s="24"/>
      <c r="F521" s="24"/>
      <c r="G521" s="24"/>
      <c r="H521" s="24"/>
      <c r="I521" s="193"/>
      <c r="J521" s="24"/>
      <c r="K521" s="194"/>
      <c r="L521" s="201"/>
      <c r="M521" s="194"/>
      <c r="N521" s="194"/>
    </row>
    <row r="522" spans="1:14" x14ac:dyDescent="0.35">
      <c r="A522" s="24"/>
      <c r="B522" s="24"/>
      <c r="C522" s="24"/>
      <c r="D522" s="24"/>
      <c r="E522" s="24"/>
      <c r="F522" s="24"/>
      <c r="G522" s="24"/>
      <c r="H522" s="24"/>
      <c r="I522" s="193"/>
      <c r="J522" s="24"/>
      <c r="K522" s="194"/>
      <c r="L522" s="201"/>
      <c r="M522" s="194"/>
      <c r="N522" s="194"/>
    </row>
    <row r="523" spans="1:14" x14ac:dyDescent="0.35">
      <c r="A523" s="24"/>
      <c r="B523" s="24"/>
      <c r="C523" s="24"/>
      <c r="D523" s="24"/>
      <c r="E523" s="24"/>
      <c r="F523" s="24"/>
      <c r="G523" s="24"/>
      <c r="H523" s="24"/>
      <c r="I523" s="193"/>
      <c r="J523" s="24"/>
      <c r="K523" s="194"/>
      <c r="L523" s="201"/>
      <c r="M523" s="194"/>
      <c r="N523" s="194"/>
    </row>
    <row r="524" spans="1:14" x14ac:dyDescent="0.35">
      <c r="A524" s="24"/>
      <c r="B524" s="24"/>
      <c r="C524" s="24"/>
      <c r="D524" s="24"/>
      <c r="E524" s="24"/>
      <c r="F524" s="24"/>
      <c r="G524" s="24"/>
      <c r="H524" s="24"/>
      <c r="I524" s="193"/>
      <c r="J524" s="24"/>
      <c r="K524" s="194"/>
      <c r="L524" s="201"/>
      <c r="M524" s="194"/>
      <c r="N524" s="194"/>
    </row>
    <row r="525" spans="1:14" x14ac:dyDescent="0.35">
      <c r="A525" s="24"/>
      <c r="B525" s="24"/>
      <c r="C525" s="24"/>
      <c r="D525" s="24"/>
      <c r="E525" s="24"/>
      <c r="F525" s="24"/>
      <c r="G525" s="24"/>
      <c r="H525" s="24"/>
      <c r="I525" s="193"/>
      <c r="J525" s="24"/>
      <c r="K525" s="194"/>
      <c r="L525" s="201"/>
      <c r="M525" s="194"/>
      <c r="N525" s="194"/>
    </row>
    <row r="526" spans="1:14" x14ac:dyDescent="0.35">
      <c r="A526" s="24"/>
      <c r="B526" s="24"/>
      <c r="C526" s="24"/>
      <c r="D526" s="24"/>
      <c r="E526" s="24"/>
      <c r="F526" s="24"/>
      <c r="G526" s="24"/>
      <c r="H526" s="24"/>
      <c r="I526" s="193"/>
      <c r="J526" s="24"/>
      <c r="K526" s="194"/>
      <c r="L526" s="201"/>
      <c r="M526" s="194"/>
      <c r="N526" s="194"/>
    </row>
    <row r="527" spans="1:14" x14ac:dyDescent="0.35">
      <c r="A527" s="24"/>
      <c r="B527" s="24"/>
      <c r="C527" s="24"/>
      <c r="D527" s="24"/>
      <c r="E527" s="24"/>
      <c r="F527" s="24"/>
      <c r="G527" s="24"/>
      <c r="H527" s="24"/>
      <c r="I527" s="193"/>
      <c r="J527" s="24"/>
      <c r="K527" s="194"/>
      <c r="L527" s="201"/>
      <c r="M527" s="194"/>
      <c r="N527" s="194"/>
    </row>
    <row r="528" spans="1:14" x14ac:dyDescent="0.35">
      <c r="A528" s="24"/>
      <c r="B528" s="24"/>
      <c r="C528" s="24"/>
      <c r="D528" s="24"/>
      <c r="E528" s="24"/>
      <c r="F528" s="24"/>
      <c r="G528" s="24"/>
      <c r="H528" s="24"/>
      <c r="I528" s="193"/>
      <c r="J528" s="24"/>
      <c r="K528" s="194"/>
      <c r="L528" s="201"/>
      <c r="M528" s="194"/>
      <c r="N528" s="194"/>
    </row>
    <row r="529" spans="1:14" x14ac:dyDescent="0.35">
      <c r="A529" s="24"/>
      <c r="B529" s="24"/>
      <c r="C529" s="24"/>
      <c r="D529" s="24"/>
      <c r="E529" s="24"/>
      <c r="F529" s="24"/>
      <c r="G529" s="24"/>
      <c r="H529" s="24"/>
      <c r="I529" s="193"/>
      <c r="J529" s="24"/>
      <c r="K529" s="194"/>
      <c r="L529" s="201"/>
      <c r="M529" s="194"/>
      <c r="N529" s="194"/>
    </row>
    <row r="530" spans="1:14" x14ac:dyDescent="0.35">
      <c r="A530" s="24"/>
      <c r="B530" s="24"/>
      <c r="C530" s="24"/>
      <c r="D530" s="24"/>
      <c r="E530" s="24"/>
      <c r="F530" s="24"/>
      <c r="G530" s="24"/>
      <c r="H530" s="24"/>
      <c r="I530" s="193"/>
      <c r="J530" s="24"/>
      <c r="K530" s="194"/>
      <c r="L530" s="201"/>
      <c r="M530" s="194"/>
      <c r="N530" s="194"/>
    </row>
    <row r="531" spans="1:14" x14ac:dyDescent="0.35">
      <c r="A531" s="24"/>
      <c r="B531" s="24"/>
      <c r="C531" s="24"/>
      <c r="D531" s="24"/>
      <c r="E531" s="24"/>
      <c r="F531" s="24"/>
      <c r="G531" s="24"/>
      <c r="H531" s="24"/>
      <c r="I531" s="193"/>
      <c r="J531" s="24"/>
      <c r="K531" s="194"/>
      <c r="L531" s="201"/>
      <c r="M531" s="194"/>
      <c r="N531" s="194"/>
    </row>
    <row r="532" spans="1:14" x14ac:dyDescent="0.35">
      <c r="A532" s="24"/>
      <c r="B532" s="24"/>
      <c r="C532" s="24"/>
      <c r="D532" s="24"/>
      <c r="E532" s="24"/>
      <c r="F532" s="24"/>
      <c r="G532" s="24"/>
      <c r="H532" s="24"/>
      <c r="I532" s="193"/>
      <c r="J532" s="24"/>
      <c r="K532" s="194"/>
      <c r="L532" s="201"/>
      <c r="M532" s="194"/>
      <c r="N532" s="194"/>
    </row>
    <row r="533" spans="1:14" x14ac:dyDescent="0.35">
      <c r="A533" s="24"/>
      <c r="B533" s="24"/>
      <c r="C533" s="24"/>
      <c r="D533" s="24"/>
      <c r="E533" s="24"/>
      <c r="F533" s="24"/>
      <c r="G533" s="24"/>
      <c r="H533" s="24"/>
      <c r="I533" s="193"/>
      <c r="J533" s="24"/>
      <c r="K533" s="194"/>
      <c r="L533" s="201"/>
      <c r="M533" s="194"/>
      <c r="N533" s="194"/>
    </row>
    <row r="534" spans="1:14" x14ac:dyDescent="0.35">
      <c r="A534" s="24"/>
      <c r="B534" s="24"/>
      <c r="C534" s="24"/>
      <c r="D534" s="24"/>
      <c r="E534" s="24"/>
      <c r="F534" s="24"/>
      <c r="G534" s="24"/>
      <c r="H534" s="24"/>
      <c r="I534" s="193"/>
      <c r="J534" s="24"/>
      <c r="K534" s="194"/>
      <c r="L534" s="24"/>
      <c r="M534" s="194"/>
      <c r="N534" s="194"/>
    </row>
    <row r="535" spans="1:14" x14ac:dyDescent="0.35">
      <c r="A535" s="24"/>
      <c r="B535" s="24"/>
      <c r="C535" s="24"/>
      <c r="D535" s="24"/>
      <c r="E535" s="24"/>
      <c r="F535" s="24"/>
      <c r="G535" s="24"/>
      <c r="H535" s="24"/>
      <c r="I535" s="193"/>
      <c r="J535" s="24"/>
      <c r="K535" s="194"/>
      <c r="L535" s="24"/>
      <c r="M535" s="194"/>
      <c r="N535" s="194"/>
    </row>
    <row r="536" spans="1:14" x14ac:dyDescent="0.35">
      <c r="A536" s="24"/>
      <c r="B536" s="24"/>
      <c r="C536" s="24"/>
      <c r="D536" s="24"/>
      <c r="E536" s="24"/>
      <c r="F536" s="24"/>
      <c r="G536" s="24"/>
      <c r="H536" s="24"/>
      <c r="I536" s="193"/>
      <c r="J536" s="24"/>
      <c r="K536" s="194"/>
      <c r="L536" s="24"/>
      <c r="M536" s="194"/>
      <c r="N536" s="194"/>
    </row>
    <row r="537" spans="1:14" x14ac:dyDescent="0.35">
      <c r="A537" s="24"/>
      <c r="B537" s="24"/>
      <c r="C537" s="24"/>
      <c r="D537" s="24"/>
      <c r="E537" s="24"/>
      <c r="F537" s="24"/>
      <c r="G537" s="24"/>
      <c r="H537" s="24"/>
      <c r="I537" s="193"/>
      <c r="J537" s="24"/>
      <c r="K537" s="194"/>
      <c r="L537" s="24"/>
      <c r="M537" s="194"/>
      <c r="N537" s="194"/>
    </row>
    <row r="538" spans="1:14" x14ac:dyDescent="0.35">
      <c r="G538" s="3"/>
      <c r="H538" s="3"/>
      <c r="I538" s="66"/>
      <c r="L538" s="24"/>
    </row>
    <row r="539" spans="1:14" x14ac:dyDescent="0.35">
      <c r="G539" s="3"/>
      <c r="H539" s="3"/>
      <c r="I539" s="66"/>
      <c r="L539" s="24"/>
    </row>
    <row r="540" spans="1:14" x14ac:dyDescent="0.35">
      <c r="G540" s="3"/>
      <c r="H540" s="3"/>
      <c r="I540" s="66"/>
    </row>
    <row r="541" spans="1:14" x14ac:dyDescent="0.35">
      <c r="G541" s="3"/>
      <c r="H541" s="3"/>
      <c r="I541" s="66"/>
    </row>
    <row r="542" spans="1:14" x14ac:dyDescent="0.35">
      <c r="G542" s="3"/>
      <c r="H542" s="3"/>
      <c r="I542" s="66"/>
    </row>
    <row r="543" spans="1:14" x14ac:dyDescent="0.35">
      <c r="G543" s="3"/>
      <c r="H543" s="3"/>
      <c r="I543" s="66"/>
    </row>
    <row r="544" spans="1:14" x14ac:dyDescent="0.35">
      <c r="G544" s="3"/>
      <c r="H544" s="3"/>
      <c r="I544" s="66"/>
    </row>
    <row r="545" spans="7:14" x14ac:dyDescent="0.35">
      <c r="G545" s="3"/>
      <c r="H545" s="3"/>
      <c r="I545" s="66"/>
    </row>
    <row r="546" spans="7:14" x14ac:dyDescent="0.35">
      <c r="G546" s="3"/>
      <c r="H546" s="3"/>
      <c r="I546" s="66"/>
    </row>
    <row r="547" spans="7:14" x14ac:dyDescent="0.35">
      <c r="G547" s="3"/>
      <c r="H547" s="3"/>
      <c r="I547" s="66"/>
      <c r="K547" s="3"/>
      <c r="M547" s="3"/>
      <c r="N547" s="3"/>
    </row>
    <row r="548" spans="7:14" x14ac:dyDescent="0.35">
      <c r="G548" s="3"/>
      <c r="H548" s="3"/>
      <c r="I548" s="66"/>
      <c r="K548" s="3"/>
      <c r="M548" s="3"/>
      <c r="N548" s="3"/>
    </row>
    <row r="549" spans="7:14" x14ac:dyDescent="0.35">
      <c r="G549" s="3"/>
      <c r="H549" s="3"/>
      <c r="I549" s="66"/>
      <c r="K549" s="3"/>
      <c r="M549" s="3"/>
      <c r="N549" s="3"/>
    </row>
  </sheetData>
  <autoFilter ref="A7:M522"/>
  <mergeCells count="5">
    <mergeCell ref="D6:H6"/>
    <mergeCell ref="I6:M6"/>
    <mergeCell ref="A5:N5"/>
    <mergeCell ref="A6:C6"/>
    <mergeCell ref="N6:N7"/>
  </mergeCells>
  <phoneticPr fontId="29" type="noConversion"/>
  <printOptions horizontalCentered="1"/>
  <pageMargins left="0.19685039370078741" right="0.19685039370078741" top="0.19685039370078741" bottom="0.39370078740157483" header="0" footer="0.19685039370078741"/>
  <pageSetup paperSize="9" scale="80" fitToHeight="0" orientation="landscape" r:id="rId1"/>
  <headerFooter>
    <oddFooter>&amp;CPág. &amp;P de &amp;N</oddFooter>
  </headerFooter>
  <rowBreaks count="19" manualBreakCount="19">
    <brk id="66" max="13" man="1"/>
    <brk id="74" max="13" man="1"/>
    <brk id="92" max="13" man="1"/>
    <brk id="116" max="13" man="1"/>
    <brk id="144" max="13" man="1"/>
    <brk id="162" max="13" man="1"/>
    <brk id="186" max="13" man="1"/>
    <brk id="206" max="13" man="1"/>
    <brk id="226" max="13" man="1"/>
    <brk id="242" max="13" man="1"/>
    <brk id="285" max="13" man="1"/>
    <brk id="305" max="13" man="1"/>
    <brk id="345" max="13" man="1"/>
    <brk id="363" max="13" man="1"/>
    <brk id="379" max="13" man="1"/>
    <brk id="391" max="13" man="1"/>
    <brk id="435" max="13" man="1"/>
    <brk id="451" max="13" man="1"/>
    <brk id="494" max="1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2060"/>
    <pageSetUpPr fitToPage="1"/>
  </sheetPr>
  <dimension ref="A1:I155"/>
  <sheetViews>
    <sheetView showGridLines="0" view="pageBreakPreview" zoomScale="85" zoomScaleSheetLayoutView="85" workbookViewId="0">
      <pane xSplit="2" ySplit="7" topLeftCell="C8" activePane="bottomRight" state="frozen"/>
      <selection activeCell="B7" sqref="B7:G7"/>
      <selection pane="topRight" activeCell="B7" sqref="B7:G7"/>
      <selection pane="bottomLeft" activeCell="B7" sqref="B7:G7"/>
      <selection pane="bottomRight" activeCell="A6" sqref="A6:G6"/>
    </sheetView>
  </sheetViews>
  <sheetFormatPr defaultColWidth="9.140625" defaultRowHeight="16.5" x14ac:dyDescent="0.35"/>
  <cols>
    <col min="1" max="1" width="8.5703125" style="6" customWidth="1"/>
    <col min="2" max="2" width="62.140625" style="6" customWidth="1"/>
    <col min="3" max="3" width="9" style="6" customWidth="1"/>
    <col min="4" max="4" width="10.85546875" style="6" customWidth="1"/>
    <col min="5" max="5" width="19.7109375" style="6" customWidth="1"/>
    <col min="6" max="6" width="2.140625" style="6" hidden="1" customWidth="1"/>
    <col min="7" max="7" width="10.140625" style="6" customWidth="1"/>
    <col min="8" max="8" width="21.5703125" style="6" hidden="1" customWidth="1"/>
    <col min="9" max="9" width="20.7109375" style="6" bestFit="1" customWidth="1"/>
    <col min="10" max="16384" width="9.140625" style="6"/>
  </cols>
  <sheetData>
    <row r="1" spans="1:9" s="5" customFormat="1" x14ac:dyDescent="0.35">
      <c r="A1" s="252" t="s">
        <v>4</v>
      </c>
      <c r="B1" s="253" t="str">
        <f>PO_IND!D3</f>
        <v>HCPA - CPE - Projeto Laboratórios de Pesquisa</v>
      </c>
      <c r="C1" s="254"/>
      <c r="D1" s="255"/>
      <c r="E1" s="256"/>
      <c r="F1" s="256"/>
      <c r="G1" s="257"/>
      <c r="H1" s="115">
        <f>'Dados Gerais'!$E$17</f>
        <v>520600.05000000005</v>
      </c>
      <c r="I1" s="357"/>
    </row>
    <row r="2" spans="1:9" s="5" customFormat="1" x14ac:dyDescent="0.35">
      <c r="A2" s="207" t="s">
        <v>99</v>
      </c>
      <c r="B2" s="89" t="str">
        <f>PO_IND!D4</f>
        <v>CPE - 2º Pavimento</v>
      </c>
      <c r="C2" s="19"/>
      <c r="D2" s="7"/>
      <c r="E2" s="108"/>
      <c r="F2" s="108"/>
      <c r="G2" s="109"/>
      <c r="H2" s="115"/>
      <c r="I2" s="115">
        <f>'Dados Gerais'!E17</f>
        <v>520600.05000000005</v>
      </c>
    </row>
    <row r="3" spans="1:9" s="5" customFormat="1" x14ac:dyDescent="0.35">
      <c r="A3" s="207" t="s">
        <v>6</v>
      </c>
      <c r="B3" s="89" t="str">
        <f>PO_IND!D5</f>
        <v>Porto Alegre / RS</v>
      </c>
      <c r="C3" s="19"/>
      <c r="D3" s="7"/>
      <c r="E3" s="108"/>
      <c r="F3" s="108"/>
      <c r="G3" s="109"/>
      <c r="H3" s="115"/>
    </row>
    <row r="4" spans="1:9" s="5" customFormat="1" x14ac:dyDescent="0.35">
      <c r="A4" s="313"/>
      <c r="B4" s="258"/>
      <c r="C4" s="259"/>
      <c r="D4" s="260"/>
      <c r="E4" s="23"/>
      <c r="F4" s="22"/>
      <c r="G4" s="110"/>
      <c r="I4" s="145"/>
    </row>
    <row r="5" spans="1:9" s="5" customFormat="1" x14ac:dyDescent="0.35">
      <c r="A5" s="261"/>
      <c r="B5" s="262" t="str">
        <f>PO_IND!D6</f>
        <v>-</v>
      </c>
      <c r="C5" s="90" t="s">
        <v>11</v>
      </c>
      <c r="D5" s="91">
        <f>'Dados Gerais'!E26</f>
        <v>44426</v>
      </c>
      <c r="E5" s="111"/>
      <c r="F5" s="111"/>
      <c r="G5" s="112"/>
    </row>
    <row r="6" spans="1:9" ht="17.25" x14ac:dyDescent="0.35">
      <c r="A6" s="627" t="s">
        <v>24</v>
      </c>
      <c r="B6" s="628"/>
      <c r="C6" s="628"/>
      <c r="D6" s="628"/>
      <c r="E6" s="628"/>
      <c r="F6" s="628"/>
      <c r="G6" s="629"/>
      <c r="H6" s="117"/>
    </row>
    <row r="7" spans="1:9" x14ac:dyDescent="0.35">
      <c r="A7" s="157" t="s">
        <v>0</v>
      </c>
      <c r="B7" s="263" t="s">
        <v>15</v>
      </c>
      <c r="C7" s="264" t="s">
        <v>58</v>
      </c>
      <c r="D7" s="263" t="s">
        <v>43</v>
      </c>
      <c r="E7" s="263" t="s">
        <v>942</v>
      </c>
      <c r="F7" s="265"/>
      <c r="G7" s="158" t="s">
        <v>18</v>
      </c>
      <c r="I7" s="117"/>
    </row>
    <row r="8" spans="1:9" x14ac:dyDescent="0.35">
      <c r="A8" s="159">
        <v>1</v>
      </c>
      <c r="B8" s="535" t="s">
        <v>129</v>
      </c>
      <c r="C8" s="155" t="s">
        <v>59</v>
      </c>
      <c r="D8" s="377">
        <v>7.24</v>
      </c>
      <c r="E8" s="377" t="s">
        <v>130</v>
      </c>
      <c r="F8" s="161"/>
      <c r="G8" s="162">
        <f t="shared" ref="G8:G39" si="0">D8</f>
        <v>7.24</v>
      </c>
    </row>
    <row r="9" spans="1:9" ht="27" x14ac:dyDescent="0.35">
      <c r="A9" s="159">
        <v>2</v>
      </c>
      <c r="B9" s="37" t="s">
        <v>571</v>
      </c>
      <c r="C9" s="155" t="s">
        <v>46</v>
      </c>
      <c r="D9" s="349">
        <v>53.75</v>
      </c>
      <c r="E9" s="349" t="s">
        <v>943</v>
      </c>
      <c r="F9" s="161"/>
      <c r="G9" s="162">
        <f t="shared" si="0"/>
        <v>53.75</v>
      </c>
    </row>
    <row r="10" spans="1:9" x14ac:dyDescent="0.35">
      <c r="A10" s="159">
        <v>3</v>
      </c>
      <c r="B10" s="37" t="s">
        <v>555</v>
      </c>
      <c r="C10" s="155" t="s">
        <v>505</v>
      </c>
      <c r="D10" s="349">
        <v>21.09</v>
      </c>
      <c r="E10" s="349" t="s">
        <v>556</v>
      </c>
      <c r="F10" s="161"/>
      <c r="G10" s="162">
        <f t="shared" si="0"/>
        <v>21.09</v>
      </c>
    </row>
    <row r="11" spans="1:9" x14ac:dyDescent="0.35">
      <c r="A11" s="159">
        <v>4</v>
      </c>
      <c r="B11" s="37" t="s">
        <v>954</v>
      </c>
      <c r="C11" s="155" t="s">
        <v>553</v>
      </c>
      <c r="D11" s="349">
        <v>106.2</v>
      </c>
      <c r="E11" s="349" t="s">
        <v>943</v>
      </c>
      <c r="F11" s="161"/>
      <c r="G11" s="162">
        <f t="shared" si="0"/>
        <v>106.2</v>
      </c>
    </row>
    <row r="12" spans="1:9" x14ac:dyDescent="0.35">
      <c r="A12" s="159">
        <v>5</v>
      </c>
      <c r="B12" s="37" t="s">
        <v>580</v>
      </c>
      <c r="C12" s="155" t="s">
        <v>46</v>
      </c>
      <c r="D12" s="349">
        <v>83.11</v>
      </c>
      <c r="E12" s="349" t="s">
        <v>583</v>
      </c>
      <c r="F12" s="161"/>
      <c r="G12" s="162">
        <f t="shared" si="0"/>
        <v>83.11</v>
      </c>
    </row>
    <row r="13" spans="1:9" x14ac:dyDescent="0.35">
      <c r="A13" s="159">
        <v>6</v>
      </c>
      <c r="B13" s="37" t="s">
        <v>878</v>
      </c>
      <c r="C13" s="155" t="s">
        <v>46</v>
      </c>
      <c r="D13" s="349">
        <v>112.92</v>
      </c>
      <c r="E13" s="349" t="s">
        <v>943</v>
      </c>
      <c r="F13" s="161"/>
      <c r="G13" s="162">
        <f t="shared" si="0"/>
        <v>112.92</v>
      </c>
    </row>
    <row r="14" spans="1:9" x14ac:dyDescent="0.35">
      <c r="A14" s="159">
        <v>7</v>
      </c>
      <c r="B14" s="37" t="s">
        <v>564</v>
      </c>
      <c r="C14" s="155" t="s">
        <v>59</v>
      </c>
      <c r="D14" s="349">
        <v>7.2</v>
      </c>
      <c r="E14" s="349" t="s">
        <v>946</v>
      </c>
      <c r="F14" s="161"/>
      <c r="G14" s="162">
        <f t="shared" si="0"/>
        <v>7.2</v>
      </c>
    </row>
    <row r="15" spans="1:9" x14ac:dyDescent="0.35">
      <c r="A15" s="159">
        <v>8</v>
      </c>
      <c r="B15" s="37" t="s">
        <v>687</v>
      </c>
      <c r="C15" s="155" t="s">
        <v>46</v>
      </c>
      <c r="D15" s="349">
        <v>1.89</v>
      </c>
      <c r="E15" s="349" t="s">
        <v>690</v>
      </c>
      <c r="F15" s="161"/>
      <c r="G15" s="162">
        <f t="shared" si="0"/>
        <v>1.89</v>
      </c>
    </row>
    <row r="16" spans="1:9" x14ac:dyDescent="0.35">
      <c r="A16" s="159">
        <v>9</v>
      </c>
      <c r="B16" s="37" t="s">
        <v>696</v>
      </c>
      <c r="C16" s="155" t="s">
        <v>46</v>
      </c>
      <c r="D16" s="349">
        <v>2.67</v>
      </c>
      <c r="E16" s="349" t="s">
        <v>697</v>
      </c>
      <c r="F16" s="161"/>
      <c r="G16" s="162">
        <f t="shared" si="0"/>
        <v>2.67</v>
      </c>
    </row>
    <row r="17" spans="1:7" x14ac:dyDescent="0.35">
      <c r="A17" s="159">
        <v>10</v>
      </c>
      <c r="B17" s="37" t="s">
        <v>694</v>
      </c>
      <c r="C17" s="155" t="s">
        <v>46</v>
      </c>
      <c r="D17" s="349">
        <v>3.35</v>
      </c>
      <c r="E17" s="349" t="s">
        <v>695</v>
      </c>
      <c r="F17" s="161"/>
      <c r="G17" s="162">
        <f t="shared" si="0"/>
        <v>3.35</v>
      </c>
    </row>
    <row r="18" spans="1:7" x14ac:dyDescent="0.35">
      <c r="A18" s="159">
        <v>11</v>
      </c>
      <c r="B18" s="37" t="s">
        <v>540</v>
      </c>
      <c r="C18" s="155" t="s">
        <v>505</v>
      </c>
      <c r="D18" s="349">
        <v>0.5</v>
      </c>
      <c r="E18" s="349" t="s">
        <v>541</v>
      </c>
      <c r="F18" s="161"/>
      <c r="G18" s="162">
        <f t="shared" si="0"/>
        <v>0.5</v>
      </c>
    </row>
    <row r="19" spans="1:7" ht="40.5" x14ac:dyDescent="0.35">
      <c r="A19" s="159">
        <v>12</v>
      </c>
      <c r="B19" s="37" t="s">
        <v>600</v>
      </c>
      <c r="C19" s="155" t="s">
        <v>46</v>
      </c>
      <c r="D19" s="349">
        <v>0.8</v>
      </c>
      <c r="E19" s="349" t="s">
        <v>605</v>
      </c>
      <c r="F19" s="161"/>
      <c r="G19" s="162">
        <f t="shared" si="0"/>
        <v>0.8</v>
      </c>
    </row>
    <row r="20" spans="1:7" x14ac:dyDescent="0.35">
      <c r="A20" s="159">
        <v>13</v>
      </c>
      <c r="B20" s="37" t="s">
        <v>858</v>
      </c>
      <c r="C20" s="155" t="s">
        <v>46</v>
      </c>
      <c r="D20" s="349">
        <v>132.9</v>
      </c>
      <c r="E20" s="349" t="s">
        <v>943</v>
      </c>
      <c r="F20" s="161"/>
      <c r="G20" s="162">
        <f t="shared" si="0"/>
        <v>132.9</v>
      </c>
    </row>
    <row r="21" spans="1:7" x14ac:dyDescent="0.35">
      <c r="A21" s="159">
        <v>14</v>
      </c>
      <c r="B21" s="37" t="s">
        <v>570</v>
      </c>
      <c r="C21" s="155" t="s">
        <v>46</v>
      </c>
      <c r="D21" s="349">
        <v>2.82</v>
      </c>
      <c r="E21" s="349" t="s">
        <v>943</v>
      </c>
      <c r="F21" s="161"/>
      <c r="G21" s="162">
        <f t="shared" si="0"/>
        <v>2.82</v>
      </c>
    </row>
    <row r="22" spans="1:7" x14ac:dyDescent="0.35">
      <c r="A22" s="159">
        <v>15</v>
      </c>
      <c r="B22" s="37" t="s">
        <v>937</v>
      </c>
      <c r="C22" s="155" t="s">
        <v>58</v>
      </c>
      <c r="D22" s="349">
        <v>19.260000000000002</v>
      </c>
      <c r="E22" s="349" t="s">
        <v>943</v>
      </c>
      <c r="F22" s="161"/>
      <c r="G22" s="162">
        <f t="shared" si="0"/>
        <v>19.260000000000002</v>
      </c>
    </row>
    <row r="23" spans="1:7" ht="40.5" x14ac:dyDescent="0.35">
      <c r="A23" s="159">
        <v>16</v>
      </c>
      <c r="B23" s="37" t="s">
        <v>444</v>
      </c>
      <c r="C23" s="155" t="s">
        <v>58</v>
      </c>
      <c r="D23" s="349">
        <v>6.52</v>
      </c>
      <c r="E23" s="349" t="s">
        <v>445</v>
      </c>
      <c r="F23" s="161"/>
      <c r="G23" s="162">
        <f t="shared" si="0"/>
        <v>6.52</v>
      </c>
    </row>
    <row r="24" spans="1:7" x14ac:dyDescent="0.35">
      <c r="A24" s="159">
        <v>17</v>
      </c>
      <c r="B24" s="37" t="s">
        <v>74</v>
      </c>
      <c r="C24" s="155" t="s">
        <v>46</v>
      </c>
      <c r="D24" s="349">
        <v>280</v>
      </c>
      <c r="E24" s="349" t="s">
        <v>943</v>
      </c>
      <c r="F24" s="161"/>
      <c r="G24" s="162">
        <f t="shared" si="0"/>
        <v>280</v>
      </c>
    </row>
    <row r="25" spans="1:7" x14ac:dyDescent="0.35">
      <c r="A25" s="159">
        <v>18</v>
      </c>
      <c r="B25" s="37" t="s">
        <v>945</v>
      </c>
      <c r="C25" s="155" t="s">
        <v>46</v>
      </c>
      <c r="D25" s="349">
        <v>3500</v>
      </c>
      <c r="E25" s="349" t="s">
        <v>943</v>
      </c>
      <c r="F25" s="161"/>
      <c r="G25" s="162">
        <f t="shared" si="0"/>
        <v>3500</v>
      </c>
    </row>
    <row r="26" spans="1:7" x14ac:dyDescent="0.35">
      <c r="A26" s="159">
        <v>19</v>
      </c>
      <c r="B26" s="37" t="s">
        <v>112</v>
      </c>
      <c r="C26" s="155" t="s">
        <v>46</v>
      </c>
      <c r="D26" s="349">
        <v>2.17</v>
      </c>
      <c r="E26" s="349" t="s">
        <v>538</v>
      </c>
      <c r="F26" s="161"/>
      <c r="G26" s="162">
        <f t="shared" si="0"/>
        <v>2.17</v>
      </c>
    </row>
    <row r="27" spans="1:7" ht="27" x14ac:dyDescent="0.35">
      <c r="A27" s="159">
        <v>20</v>
      </c>
      <c r="B27" s="37" t="s">
        <v>746</v>
      </c>
      <c r="C27" s="155" t="s">
        <v>46</v>
      </c>
      <c r="D27" s="349">
        <v>350</v>
      </c>
      <c r="E27" s="349" t="s">
        <v>69</v>
      </c>
      <c r="F27" s="161"/>
      <c r="G27" s="162">
        <f t="shared" si="0"/>
        <v>350</v>
      </c>
    </row>
    <row r="28" spans="1:7" x14ac:dyDescent="0.35">
      <c r="A28" s="159">
        <v>21</v>
      </c>
      <c r="B28" s="37" t="s">
        <v>917</v>
      </c>
      <c r="C28" s="155" t="s">
        <v>46</v>
      </c>
      <c r="D28" s="349">
        <v>120.98835000000001</v>
      </c>
      <c r="E28" s="349" t="s">
        <v>943</v>
      </c>
      <c r="F28" s="161"/>
      <c r="G28" s="162">
        <f t="shared" si="0"/>
        <v>120.98835000000001</v>
      </c>
    </row>
    <row r="29" spans="1:7" x14ac:dyDescent="0.35">
      <c r="A29" s="159">
        <v>22</v>
      </c>
      <c r="B29" s="37" t="s">
        <v>595</v>
      </c>
      <c r="C29" s="155" t="s">
        <v>46</v>
      </c>
      <c r="D29" s="349">
        <v>144.83000000000001</v>
      </c>
      <c r="E29" s="349" t="s">
        <v>943</v>
      </c>
      <c r="F29" s="161"/>
      <c r="G29" s="162">
        <f t="shared" si="0"/>
        <v>144.83000000000001</v>
      </c>
    </row>
    <row r="30" spans="1:7" x14ac:dyDescent="0.35">
      <c r="A30" s="159">
        <v>23</v>
      </c>
      <c r="B30" s="37" t="s">
        <v>598</v>
      </c>
      <c r="C30" s="155" t="s">
        <v>46</v>
      </c>
      <c r="D30" s="349">
        <v>170.35</v>
      </c>
      <c r="E30" s="349" t="s">
        <v>943</v>
      </c>
      <c r="F30" s="161"/>
      <c r="G30" s="162">
        <f t="shared" si="0"/>
        <v>170.35</v>
      </c>
    </row>
    <row r="31" spans="1:7" x14ac:dyDescent="0.35">
      <c r="A31" s="159">
        <v>24</v>
      </c>
      <c r="B31" s="37" t="s">
        <v>596</v>
      </c>
      <c r="C31" s="155" t="s">
        <v>46</v>
      </c>
      <c r="D31" s="349">
        <v>184.13</v>
      </c>
      <c r="E31" s="349" t="s">
        <v>943</v>
      </c>
      <c r="F31" s="161"/>
      <c r="G31" s="162">
        <f t="shared" si="0"/>
        <v>184.13</v>
      </c>
    </row>
    <row r="32" spans="1:7" x14ac:dyDescent="0.35">
      <c r="A32" s="159">
        <v>25</v>
      </c>
      <c r="B32" s="37" t="s">
        <v>914</v>
      </c>
      <c r="C32" s="155" t="s">
        <v>46</v>
      </c>
      <c r="D32" s="349">
        <v>233.00633999999999</v>
      </c>
      <c r="E32" s="349" t="s">
        <v>943</v>
      </c>
      <c r="F32" s="161"/>
      <c r="G32" s="162">
        <f t="shared" si="0"/>
        <v>233.00633999999999</v>
      </c>
    </row>
    <row r="33" spans="1:7" x14ac:dyDescent="0.35">
      <c r="A33" s="159">
        <v>26</v>
      </c>
      <c r="B33" s="37" t="s">
        <v>915</v>
      </c>
      <c r="C33" s="155" t="s">
        <v>46</v>
      </c>
      <c r="D33" s="349">
        <v>245.91671999999997</v>
      </c>
      <c r="E33" s="349" t="s">
        <v>943</v>
      </c>
      <c r="F33" s="161"/>
      <c r="G33" s="162">
        <f t="shared" si="0"/>
        <v>245.91671999999997</v>
      </c>
    </row>
    <row r="34" spans="1:7" x14ac:dyDescent="0.35">
      <c r="A34" s="159">
        <v>27</v>
      </c>
      <c r="B34" s="37" t="s">
        <v>916</v>
      </c>
      <c r="C34" s="155" t="s">
        <v>46</v>
      </c>
      <c r="D34" s="349">
        <v>284.17703999999998</v>
      </c>
      <c r="E34" s="349" t="s">
        <v>943</v>
      </c>
      <c r="F34" s="161"/>
      <c r="G34" s="162">
        <f t="shared" si="0"/>
        <v>284.17703999999998</v>
      </c>
    </row>
    <row r="35" spans="1:7" ht="27" x14ac:dyDescent="0.35">
      <c r="A35" s="159">
        <v>28</v>
      </c>
      <c r="B35" s="37" t="s">
        <v>689</v>
      </c>
      <c r="C35" s="155" t="s">
        <v>46</v>
      </c>
      <c r="D35" s="349">
        <v>47.08</v>
      </c>
      <c r="E35" s="349" t="s">
        <v>692</v>
      </c>
      <c r="F35" s="161"/>
      <c r="G35" s="162">
        <f t="shared" si="0"/>
        <v>47.08</v>
      </c>
    </row>
    <row r="36" spans="1:7" ht="27" x14ac:dyDescent="0.35">
      <c r="A36" s="159">
        <v>29</v>
      </c>
      <c r="B36" s="37" t="s">
        <v>885</v>
      </c>
      <c r="C36" s="155" t="s">
        <v>46</v>
      </c>
      <c r="D36" s="349">
        <v>121.16</v>
      </c>
      <c r="E36" s="349" t="s">
        <v>886</v>
      </c>
      <c r="F36" s="161"/>
      <c r="G36" s="162">
        <f t="shared" si="0"/>
        <v>121.16</v>
      </c>
    </row>
    <row r="37" spans="1:7" ht="27" x14ac:dyDescent="0.35">
      <c r="A37" s="159">
        <v>30</v>
      </c>
      <c r="B37" s="37" t="s">
        <v>572</v>
      </c>
      <c r="C37" s="155" t="s">
        <v>58</v>
      </c>
      <c r="D37" s="349">
        <v>86.16</v>
      </c>
      <c r="E37" s="349" t="s">
        <v>943</v>
      </c>
      <c r="F37" s="161"/>
      <c r="G37" s="162">
        <f t="shared" si="0"/>
        <v>86.16</v>
      </c>
    </row>
    <row r="38" spans="1:7" ht="27" x14ac:dyDescent="0.35">
      <c r="A38" s="159">
        <v>31</v>
      </c>
      <c r="B38" s="37" t="s">
        <v>599</v>
      </c>
      <c r="C38" s="155" t="s">
        <v>505</v>
      </c>
      <c r="D38" s="349">
        <v>17.25</v>
      </c>
      <c r="E38" s="349" t="s">
        <v>686</v>
      </c>
      <c r="F38" s="161"/>
      <c r="G38" s="162">
        <f t="shared" si="0"/>
        <v>17.25</v>
      </c>
    </row>
    <row r="39" spans="1:7" x14ac:dyDescent="0.35">
      <c r="A39" s="159">
        <v>32</v>
      </c>
      <c r="B39" s="37" t="s">
        <v>602</v>
      </c>
      <c r="C39" s="155" t="s">
        <v>46</v>
      </c>
      <c r="D39" s="349">
        <v>0.75</v>
      </c>
      <c r="E39" s="349" t="s">
        <v>607</v>
      </c>
      <c r="F39" s="161"/>
      <c r="G39" s="162">
        <f t="shared" si="0"/>
        <v>0.75</v>
      </c>
    </row>
    <row r="40" spans="1:7" ht="27" x14ac:dyDescent="0.35">
      <c r="A40" s="159">
        <v>33</v>
      </c>
      <c r="B40" s="37" t="s">
        <v>912</v>
      </c>
      <c r="C40" s="155" t="s">
        <v>46</v>
      </c>
      <c r="D40" s="349">
        <v>1501</v>
      </c>
      <c r="E40" s="349" t="s">
        <v>943</v>
      </c>
      <c r="F40" s="161"/>
      <c r="G40" s="162">
        <f t="shared" ref="G40:G71" si="1">D40</f>
        <v>1501</v>
      </c>
    </row>
    <row r="41" spans="1:7" x14ac:dyDescent="0.35">
      <c r="A41" s="159">
        <v>34</v>
      </c>
      <c r="B41" s="37" t="s">
        <v>575</v>
      </c>
      <c r="C41" s="155" t="s">
        <v>46</v>
      </c>
      <c r="D41" s="349">
        <v>25.51</v>
      </c>
      <c r="E41" s="349" t="s">
        <v>943</v>
      </c>
      <c r="F41" s="161"/>
      <c r="G41" s="162">
        <f t="shared" si="1"/>
        <v>25.51</v>
      </c>
    </row>
    <row r="42" spans="1:7" ht="27" x14ac:dyDescent="0.35">
      <c r="A42" s="159">
        <v>35</v>
      </c>
      <c r="B42" s="37" t="s">
        <v>851</v>
      </c>
      <c r="C42" s="155" t="s">
        <v>46</v>
      </c>
      <c r="D42" s="349">
        <v>120</v>
      </c>
      <c r="E42" s="349" t="s">
        <v>69</v>
      </c>
      <c r="F42" s="161"/>
      <c r="G42" s="162">
        <f t="shared" si="1"/>
        <v>120</v>
      </c>
    </row>
    <row r="43" spans="1:7" x14ac:dyDescent="0.35">
      <c r="A43" s="159">
        <v>36</v>
      </c>
      <c r="B43" s="37" t="s">
        <v>71</v>
      </c>
      <c r="C43" s="155" t="s">
        <v>66</v>
      </c>
      <c r="D43" s="349">
        <v>120</v>
      </c>
      <c r="E43" s="349" t="s">
        <v>73</v>
      </c>
      <c r="F43" s="161"/>
      <c r="G43" s="162">
        <f t="shared" si="1"/>
        <v>120</v>
      </c>
    </row>
    <row r="44" spans="1:7" x14ac:dyDescent="0.35">
      <c r="A44" s="159">
        <v>37</v>
      </c>
      <c r="B44" s="37" t="s">
        <v>847</v>
      </c>
      <c r="C44" s="155" t="s">
        <v>46</v>
      </c>
      <c r="D44" s="349">
        <v>422.99</v>
      </c>
      <c r="E44" s="349" t="s">
        <v>943</v>
      </c>
      <c r="F44" s="161"/>
      <c r="G44" s="162">
        <f t="shared" si="1"/>
        <v>422.99</v>
      </c>
    </row>
    <row r="45" spans="1:7" x14ac:dyDescent="0.35">
      <c r="A45" s="159">
        <v>38</v>
      </c>
      <c r="B45" s="37" t="s">
        <v>848</v>
      </c>
      <c r="C45" s="155" t="s">
        <v>46</v>
      </c>
      <c r="D45" s="349">
        <v>133.44</v>
      </c>
      <c r="E45" s="349" t="s">
        <v>943</v>
      </c>
      <c r="F45" s="161"/>
      <c r="G45" s="162">
        <f t="shared" si="1"/>
        <v>133.44</v>
      </c>
    </row>
    <row r="46" spans="1:7" x14ac:dyDescent="0.35">
      <c r="A46" s="159">
        <v>39</v>
      </c>
      <c r="B46" s="37" t="s">
        <v>88</v>
      </c>
      <c r="C46" s="155" t="s">
        <v>72</v>
      </c>
      <c r="D46" s="349">
        <v>25</v>
      </c>
      <c r="E46" s="349" t="s">
        <v>73</v>
      </c>
      <c r="F46" s="161"/>
      <c r="G46" s="162">
        <f t="shared" si="1"/>
        <v>25</v>
      </c>
    </row>
    <row r="47" spans="1:7" x14ac:dyDescent="0.35">
      <c r="A47" s="159">
        <v>40</v>
      </c>
      <c r="B47" s="37" t="s">
        <v>75</v>
      </c>
      <c r="C47" s="155" t="s">
        <v>72</v>
      </c>
      <c r="D47" s="349">
        <v>80</v>
      </c>
      <c r="E47" s="349" t="s">
        <v>73</v>
      </c>
      <c r="F47" s="161"/>
      <c r="G47" s="162">
        <f t="shared" si="1"/>
        <v>80</v>
      </c>
    </row>
    <row r="48" spans="1:7" x14ac:dyDescent="0.35">
      <c r="A48" s="159">
        <v>41</v>
      </c>
      <c r="B48" s="37" t="s">
        <v>515</v>
      </c>
      <c r="C48" s="155" t="s">
        <v>46</v>
      </c>
      <c r="D48" s="349">
        <v>68.88</v>
      </c>
      <c r="E48" s="349" t="s">
        <v>943</v>
      </c>
      <c r="F48" s="161"/>
      <c r="G48" s="162">
        <f t="shared" si="1"/>
        <v>68.88</v>
      </c>
    </row>
    <row r="49" spans="1:7" ht="27" x14ac:dyDescent="0.35">
      <c r="A49" s="159">
        <v>42</v>
      </c>
      <c r="B49" s="37" t="s">
        <v>902</v>
      </c>
      <c r="C49" s="155" t="s">
        <v>46</v>
      </c>
      <c r="D49" s="349">
        <v>10.31</v>
      </c>
      <c r="E49" s="349" t="s">
        <v>903</v>
      </c>
      <c r="F49" s="161"/>
      <c r="G49" s="162">
        <f t="shared" si="1"/>
        <v>10.31</v>
      </c>
    </row>
    <row r="50" spans="1:7" x14ac:dyDescent="0.35">
      <c r="A50" s="159">
        <v>43</v>
      </c>
      <c r="B50" s="37" t="s">
        <v>436</v>
      </c>
      <c r="C50" s="155" t="s">
        <v>46</v>
      </c>
      <c r="D50" s="349">
        <v>4.29</v>
      </c>
      <c r="E50" s="349" t="s">
        <v>943</v>
      </c>
      <c r="F50" s="161"/>
      <c r="G50" s="162">
        <f t="shared" si="1"/>
        <v>4.29</v>
      </c>
    </row>
    <row r="51" spans="1:7" ht="40.5" x14ac:dyDescent="0.35">
      <c r="A51" s="159">
        <v>44</v>
      </c>
      <c r="B51" s="37" t="s">
        <v>962</v>
      </c>
      <c r="C51" s="155" t="s">
        <v>46</v>
      </c>
      <c r="D51" s="349">
        <v>211.81944000000001</v>
      </c>
      <c r="E51" s="349" t="s">
        <v>943</v>
      </c>
      <c r="F51" s="161"/>
      <c r="G51" s="162">
        <f t="shared" si="1"/>
        <v>211.81944000000001</v>
      </c>
    </row>
    <row r="52" spans="1:7" ht="40.5" x14ac:dyDescent="0.35">
      <c r="A52" s="159">
        <v>45</v>
      </c>
      <c r="B52" s="37" t="s">
        <v>513</v>
      </c>
      <c r="C52" s="155" t="s">
        <v>46</v>
      </c>
      <c r="D52" s="349">
        <v>402.67500000000001</v>
      </c>
      <c r="E52" s="349" t="s">
        <v>943</v>
      </c>
      <c r="F52" s="161"/>
      <c r="G52" s="162">
        <f t="shared" si="1"/>
        <v>402.67500000000001</v>
      </c>
    </row>
    <row r="53" spans="1:7" ht="40.5" x14ac:dyDescent="0.35">
      <c r="A53" s="159">
        <v>46</v>
      </c>
      <c r="B53" s="37" t="s">
        <v>826</v>
      </c>
      <c r="C53" s="155" t="s">
        <v>46</v>
      </c>
      <c r="D53" s="349">
        <v>649.23599999999999</v>
      </c>
      <c r="E53" s="349" t="s">
        <v>943</v>
      </c>
      <c r="F53" s="161"/>
      <c r="G53" s="162">
        <f t="shared" si="1"/>
        <v>649.23599999999999</v>
      </c>
    </row>
    <row r="54" spans="1:7" ht="40.5" x14ac:dyDescent="0.35">
      <c r="A54" s="159">
        <v>47</v>
      </c>
      <c r="B54" s="37" t="s">
        <v>832</v>
      </c>
      <c r="C54" s="155" t="s">
        <v>46</v>
      </c>
      <c r="D54" s="349">
        <v>232.93199999999999</v>
      </c>
      <c r="E54" s="349" t="s">
        <v>943</v>
      </c>
      <c r="F54" s="161"/>
      <c r="G54" s="162">
        <f t="shared" si="1"/>
        <v>232.93199999999999</v>
      </c>
    </row>
    <row r="55" spans="1:7" ht="40.5" x14ac:dyDescent="0.35">
      <c r="A55" s="159">
        <v>48</v>
      </c>
      <c r="B55" s="37" t="s">
        <v>597</v>
      </c>
      <c r="C55" s="155" t="s">
        <v>46</v>
      </c>
      <c r="D55" s="349">
        <v>312.22799999999995</v>
      </c>
      <c r="E55" s="349" t="s">
        <v>943</v>
      </c>
      <c r="F55" s="161"/>
      <c r="G55" s="162">
        <f t="shared" si="1"/>
        <v>312.22799999999995</v>
      </c>
    </row>
    <row r="56" spans="1:7" ht="40.5" x14ac:dyDescent="0.35">
      <c r="A56" s="159">
        <v>49</v>
      </c>
      <c r="B56" s="37" t="s">
        <v>512</v>
      </c>
      <c r="C56" s="155" t="s">
        <v>46</v>
      </c>
      <c r="D56" s="349">
        <v>402.67500000000001</v>
      </c>
      <c r="E56" s="349" t="s">
        <v>943</v>
      </c>
      <c r="F56" s="161"/>
      <c r="G56" s="162">
        <f t="shared" si="1"/>
        <v>402.67500000000001</v>
      </c>
    </row>
    <row r="57" spans="1:7" ht="40.5" x14ac:dyDescent="0.35">
      <c r="A57" s="159">
        <v>50</v>
      </c>
      <c r="B57" s="37" t="s">
        <v>510</v>
      </c>
      <c r="C57" s="155" t="s">
        <v>46</v>
      </c>
      <c r="D57" s="349">
        <v>474.53700000000003</v>
      </c>
      <c r="E57" s="349" t="s">
        <v>943</v>
      </c>
      <c r="F57" s="161"/>
      <c r="G57" s="162">
        <f t="shared" si="1"/>
        <v>474.53700000000003</v>
      </c>
    </row>
    <row r="58" spans="1:7" ht="40.5" x14ac:dyDescent="0.35">
      <c r="A58" s="159">
        <v>51</v>
      </c>
      <c r="B58" s="37" t="s">
        <v>831</v>
      </c>
      <c r="C58" s="155" t="s">
        <v>46</v>
      </c>
      <c r="D58" s="349">
        <v>649.23599999999999</v>
      </c>
      <c r="E58" s="349" t="s">
        <v>943</v>
      </c>
      <c r="F58" s="161"/>
      <c r="G58" s="162">
        <f t="shared" si="1"/>
        <v>649.23599999999999</v>
      </c>
    </row>
    <row r="59" spans="1:7" ht="40.5" x14ac:dyDescent="0.35">
      <c r="A59" s="159">
        <v>52</v>
      </c>
      <c r="B59" s="37" t="s">
        <v>828</v>
      </c>
      <c r="C59" s="155" t="s">
        <v>46</v>
      </c>
      <c r="D59" s="349">
        <v>724.81499999999994</v>
      </c>
      <c r="E59" s="349" t="s">
        <v>943</v>
      </c>
      <c r="F59" s="161"/>
      <c r="G59" s="162">
        <f t="shared" si="1"/>
        <v>724.81499999999994</v>
      </c>
    </row>
    <row r="60" spans="1:7" ht="40.5" x14ac:dyDescent="0.35">
      <c r="A60" s="159">
        <v>53</v>
      </c>
      <c r="B60" s="37" t="s">
        <v>829</v>
      </c>
      <c r="C60" s="155" t="s">
        <v>46</v>
      </c>
      <c r="D60" s="349">
        <v>887.12400000000002</v>
      </c>
      <c r="E60" s="349" t="s">
        <v>943</v>
      </c>
      <c r="F60" s="161"/>
      <c r="G60" s="162">
        <f t="shared" si="1"/>
        <v>887.12400000000002</v>
      </c>
    </row>
    <row r="61" spans="1:7" x14ac:dyDescent="0.35">
      <c r="A61" s="159">
        <v>54</v>
      </c>
      <c r="B61" s="37" t="s">
        <v>545</v>
      </c>
      <c r="C61" s="155" t="s">
        <v>59</v>
      </c>
      <c r="D61" s="349">
        <v>53.18</v>
      </c>
      <c r="E61" s="349" t="s">
        <v>547</v>
      </c>
      <c r="F61" s="161"/>
      <c r="G61" s="162">
        <f t="shared" si="1"/>
        <v>53.18</v>
      </c>
    </row>
    <row r="62" spans="1:7" x14ac:dyDescent="0.35">
      <c r="A62" s="159">
        <v>55</v>
      </c>
      <c r="B62" s="37" t="s">
        <v>856</v>
      </c>
      <c r="C62" s="155" t="s">
        <v>46</v>
      </c>
      <c r="D62" s="349">
        <v>38.68</v>
      </c>
      <c r="E62" s="349" t="s">
        <v>943</v>
      </c>
      <c r="F62" s="161"/>
      <c r="G62" s="162">
        <f t="shared" si="1"/>
        <v>38.68</v>
      </c>
    </row>
    <row r="63" spans="1:7" x14ac:dyDescent="0.35">
      <c r="A63" s="159">
        <v>56</v>
      </c>
      <c r="B63" s="37" t="s">
        <v>857</v>
      </c>
      <c r="C63" s="155" t="s">
        <v>46</v>
      </c>
      <c r="D63" s="349">
        <v>66.150000000000006</v>
      </c>
      <c r="E63" s="349" t="s">
        <v>951</v>
      </c>
      <c r="F63" s="161"/>
      <c r="G63" s="162">
        <f t="shared" si="1"/>
        <v>66.150000000000006</v>
      </c>
    </row>
    <row r="64" spans="1:7" ht="27" x14ac:dyDescent="0.35">
      <c r="A64" s="159">
        <v>57</v>
      </c>
      <c r="B64" s="37" t="s">
        <v>896</v>
      </c>
      <c r="C64" s="155" t="s">
        <v>46</v>
      </c>
      <c r="D64" s="349">
        <v>70.48</v>
      </c>
      <c r="E64" s="349" t="s">
        <v>897</v>
      </c>
      <c r="F64" s="161"/>
      <c r="G64" s="162">
        <f t="shared" si="1"/>
        <v>70.48</v>
      </c>
    </row>
    <row r="65" spans="1:7" ht="27" x14ac:dyDescent="0.35">
      <c r="A65" s="159">
        <v>58</v>
      </c>
      <c r="B65" s="37" t="s">
        <v>894</v>
      </c>
      <c r="C65" s="155" t="s">
        <v>46</v>
      </c>
      <c r="D65" s="349">
        <v>145.04</v>
      </c>
      <c r="E65" s="349" t="s">
        <v>895</v>
      </c>
      <c r="F65" s="161"/>
      <c r="G65" s="162">
        <f t="shared" si="1"/>
        <v>145.04</v>
      </c>
    </row>
    <row r="66" spans="1:7" ht="27" x14ac:dyDescent="0.35">
      <c r="A66" s="159">
        <v>59</v>
      </c>
      <c r="B66" s="37" t="s">
        <v>952</v>
      </c>
      <c r="C66" s="155" t="s">
        <v>61</v>
      </c>
      <c r="D66" s="349">
        <v>917.50278706800441</v>
      </c>
      <c r="E66" s="349" t="s">
        <v>943</v>
      </c>
      <c r="F66" s="161"/>
      <c r="G66" s="162">
        <f t="shared" si="1"/>
        <v>917.50278706800441</v>
      </c>
    </row>
    <row r="67" spans="1:7" x14ac:dyDescent="0.35">
      <c r="A67" s="159">
        <v>60</v>
      </c>
      <c r="B67" s="37" t="s">
        <v>883</v>
      </c>
      <c r="C67" s="155" t="s">
        <v>61</v>
      </c>
      <c r="D67" s="349">
        <v>69.8</v>
      </c>
      <c r="E67" s="349" t="s">
        <v>957</v>
      </c>
      <c r="F67" s="161"/>
      <c r="G67" s="162">
        <f t="shared" si="1"/>
        <v>69.8</v>
      </c>
    </row>
    <row r="68" spans="1:7" ht="27" x14ac:dyDescent="0.35">
      <c r="A68" s="159">
        <v>61</v>
      </c>
      <c r="B68" s="37" t="s">
        <v>615</v>
      </c>
      <c r="C68" s="155" t="s">
        <v>46</v>
      </c>
      <c r="D68" s="349">
        <v>4.91</v>
      </c>
      <c r="E68" s="349" t="s">
        <v>616</v>
      </c>
      <c r="F68" s="161"/>
      <c r="G68" s="162">
        <f t="shared" si="1"/>
        <v>4.91</v>
      </c>
    </row>
    <row r="69" spans="1:7" x14ac:dyDescent="0.35">
      <c r="A69" s="159">
        <v>62</v>
      </c>
      <c r="B69" s="37" t="s">
        <v>542</v>
      </c>
      <c r="C69" s="155" t="s">
        <v>46</v>
      </c>
      <c r="D69" s="349">
        <v>0.13</v>
      </c>
      <c r="E69" s="349" t="s">
        <v>947</v>
      </c>
      <c r="F69" s="161"/>
      <c r="G69" s="162">
        <f t="shared" si="1"/>
        <v>0.13</v>
      </c>
    </row>
    <row r="70" spans="1:7" x14ac:dyDescent="0.35">
      <c r="A70" s="159">
        <v>63</v>
      </c>
      <c r="B70" s="37" t="s">
        <v>737</v>
      </c>
      <c r="C70" s="155" t="s">
        <v>46</v>
      </c>
      <c r="D70" s="349">
        <v>26.01</v>
      </c>
      <c r="E70" s="349" t="s">
        <v>738</v>
      </c>
      <c r="F70" s="161"/>
      <c r="G70" s="162">
        <f t="shared" si="1"/>
        <v>26.01</v>
      </c>
    </row>
    <row r="71" spans="1:7" x14ac:dyDescent="0.35">
      <c r="A71" s="159">
        <v>64</v>
      </c>
      <c r="B71" s="37" t="s">
        <v>48</v>
      </c>
      <c r="C71" s="155" t="s">
        <v>46</v>
      </c>
      <c r="D71" s="349">
        <v>183.75</v>
      </c>
      <c r="E71" s="349" t="s">
        <v>163</v>
      </c>
      <c r="F71" s="161"/>
      <c r="G71" s="162">
        <f t="shared" si="1"/>
        <v>183.75</v>
      </c>
    </row>
    <row r="72" spans="1:7" ht="27" x14ac:dyDescent="0.35">
      <c r="A72" s="159">
        <v>65</v>
      </c>
      <c r="B72" s="37" t="s">
        <v>739</v>
      </c>
      <c r="C72" s="155" t="s">
        <v>46</v>
      </c>
      <c r="D72" s="349">
        <v>282.05</v>
      </c>
      <c r="E72" s="349" t="s">
        <v>943</v>
      </c>
      <c r="F72" s="161"/>
      <c r="G72" s="162">
        <f t="shared" ref="G72:G103" si="2">D72</f>
        <v>282.05</v>
      </c>
    </row>
    <row r="73" spans="1:7" ht="27" x14ac:dyDescent="0.35">
      <c r="A73" s="159">
        <v>66</v>
      </c>
      <c r="B73" s="37" t="s">
        <v>447</v>
      </c>
      <c r="C73" s="155" t="s">
        <v>46</v>
      </c>
      <c r="D73" s="349">
        <v>2.64</v>
      </c>
      <c r="E73" s="349" t="s">
        <v>448</v>
      </c>
      <c r="F73" s="161"/>
      <c r="G73" s="162">
        <f t="shared" si="2"/>
        <v>2.64</v>
      </c>
    </row>
    <row r="74" spans="1:7" x14ac:dyDescent="0.35">
      <c r="A74" s="159">
        <v>67</v>
      </c>
      <c r="B74" s="37" t="s">
        <v>611</v>
      </c>
      <c r="C74" s="155" t="s">
        <v>46</v>
      </c>
      <c r="D74" s="349">
        <v>4.99</v>
      </c>
      <c r="E74" s="349" t="s">
        <v>614</v>
      </c>
      <c r="F74" s="161"/>
      <c r="G74" s="162">
        <f t="shared" si="2"/>
        <v>4.99</v>
      </c>
    </row>
    <row r="75" spans="1:7" x14ac:dyDescent="0.35">
      <c r="A75" s="159">
        <v>68</v>
      </c>
      <c r="B75" s="37" t="s">
        <v>892</v>
      </c>
      <c r="C75" s="155" t="s">
        <v>46</v>
      </c>
      <c r="D75" s="349">
        <v>849.2</v>
      </c>
      <c r="E75" s="349" t="s">
        <v>943</v>
      </c>
      <c r="F75" s="161"/>
      <c r="G75" s="162">
        <f t="shared" si="2"/>
        <v>849.2</v>
      </c>
    </row>
    <row r="76" spans="1:7" ht="40.5" x14ac:dyDescent="0.35">
      <c r="A76" s="159">
        <v>69</v>
      </c>
      <c r="B76" s="37" t="s">
        <v>852</v>
      </c>
      <c r="C76" s="155" t="s">
        <v>46</v>
      </c>
      <c r="D76" s="349">
        <v>16239.499500000002</v>
      </c>
      <c r="E76" s="349" t="s">
        <v>943</v>
      </c>
      <c r="F76" s="161"/>
      <c r="G76" s="162">
        <f t="shared" si="2"/>
        <v>16239.499500000002</v>
      </c>
    </row>
    <row r="77" spans="1:7" ht="27" x14ac:dyDescent="0.35">
      <c r="A77" s="159">
        <v>70</v>
      </c>
      <c r="B77" s="37" t="s">
        <v>511</v>
      </c>
      <c r="C77" s="155" t="s">
        <v>46</v>
      </c>
      <c r="D77" s="349">
        <v>412.59</v>
      </c>
      <c r="E77" s="349" t="s">
        <v>943</v>
      </c>
      <c r="F77" s="161"/>
      <c r="G77" s="162">
        <f t="shared" si="2"/>
        <v>412.59</v>
      </c>
    </row>
    <row r="78" spans="1:7" ht="27" x14ac:dyDescent="0.35">
      <c r="A78" s="159">
        <v>71</v>
      </c>
      <c r="B78" s="37" t="s">
        <v>936</v>
      </c>
      <c r="C78" s="155" t="s">
        <v>46</v>
      </c>
      <c r="D78" s="349">
        <v>366.74399999999997</v>
      </c>
      <c r="E78" s="349" t="s">
        <v>943</v>
      </c>
      <c r="F78" s="161"/>
      <c r="G78" s="162">
        <f t="shared" si="2"/>
        <v>366.74399999999997</v>
      </c>
    </row>
    <row r="79" spans="1:7" ht="27" x14ac:dyDescent="0.35">
      <c r="A79" s="159">
        <v>72</v>
      </c>
      <c r="B79" s="37" t="s">
        <v>935</v>
      </c>
      <c r="C79" s="155" t="s">
        <v>46</v>
      </c>
      <c r="D79" s="349">
        <v>433.65</v>
      </c>
      <c r="E79" s="349" t="s">
        <v>943</v>
      </c>
      <c r="F79" s="161"/>
      <c r="G79" s="162">
        <f t="shared" si="2"/>
        <v>433.65</v>
      </c>
    </row>
    <row r="80" spans="1:7" x14ac:dyDescent="0.35">
      <c r="A80" s="159">
        <v>74</v>
      </c>
      <c r="B80" s="37" t="s">
        <v>853</v>
      </c>
      <c r="C80" s="155" t="s">
        <v>46</v>
      </c>
      <c r="D80" s="349">
        <v>168.50399999999999</v>
      </c>
      <c r="E80" s="349" t="s">
        <v>943</v>
      </c>
      <c r="F80" s="161"/>
      <c r="G80" s="162">
        <f t="shared" si="2"/>
        <v>168.50399999999999</v>
      </c>
    </row>
    <row r="81" spans="1:7" x14ac:dyDescent="0.35">
      <c r="A81" s="159">
        <v>75</v>
      </c>
      <c r="B81" s="37" t="s">
        <v>698</v>
      </c>
      <c r="C81" s="155" t="s">
        <v>46</v>
      </c>
      <c r="D81" s="349">
        <v>35.47</v>
      </c>
      <c r="E81" s="349" t="s">
        <v>699</v>
      </c>
      <c r="F81" s="161"/>
      <c r="G81" s="162">
        <f t="shared" si="2"/>
        <v>35.47</v>
      </c>
    </row>
    <row r="82" spans="1:7" ht="54" x14ac:dyDescent="0.35">
      <c r="A82" s="159">
        <v>76</v>
      </c>
      <c r="B82" s="37" t="s">
        <v>610</v>
      </c>
      <c r="C82" s="155" t="s">
        <v>61</v>
      </c>
      <c r="D82" s="349">
        <v>14.43</v>
      </c>
      <c r="E82" s="349" t="s">
        <v>943</v>
      </c>
      <c r="F82" s="161"/>
      <c r="G82" s="162">
        <f t="shared" si="2"/>
        <v>14.43</v>
      </c>
    </row>
    <row r="83" spans="1:7" ht="27" x14ac:dyDescent="0.35">
      <c r="A83" s="159">
        <v>77</v>
      </c>
      <c r="B83" s="37" t="s">
        <v>700</v>
      </c>
      <c r="C83" s="155" t="s">
        <v>46</v>
      </c>
      <c r="D83" s="349">
        <v>4.83</v>
      </c>
      <c r="E83" s="349" t="s">
        <v>701</v>
      </c>
      <c r="F83" s="161"/>
      <c r="G83" s="162">
        <f t="shared" si="2"/>
        <v>4.83</v>
      </c>
    </row>
    <row r="84" spans="1:7" ht="27" x14ac:dyDescent="0.35">
      <c r="A84" s="159">
        <v>78</v>
      </c>
      <c r="B84" s="37" t="s">
        <v>585</v>
      </c>
      <c r="C84" s="155" t="s">
        <v>46</v>
      </c>
      <c r="D84" s="349">
        <v>19.61</v>
      </c>
      <c r="E84" s="349" t="s">
        <v>586</v>
      </c>
      <c r="F84" s="161"/>
      <c r="G84" s="162">
        <f t="shared" si="2"/>
        <v>19.61</v>
      </c>
    </row>
    <row r="85" spans="1:7" ht="27" x14ac:dyDescent="0.35">
      <c r="A85" s="159">
        <v>79</v>
      </c>
      <c r="B85" s="37" t="s">
        <v>702</v>
      </c>
      <c r="C85" s="155" t="s">
        <v>46</v>
      </c>
      <c r="D85" s="349">
        <v>15.71</v>
      </c>
      <c r="E85" s="349" t="s">
        <v>703</v>
      </c>
      <c r="F85" s="161"/>
      <c r="G85" s="162">
        <f t="shared" si="2"/>
        <v>15.71</v>
      </c>
    </row>
    <row r="86" spans="1:7" x14ac:dyDescent="0.35">
      <c r="A86" s="159">
        <v>80</v>
      </c>
      <c r="B86" s="37" t="s">
        <v>558</v>
      </c>
      <c r="C86" s="155" t="s">
        <v>46</v>
      </c>
      <c r="D86" s="349">
        <v>9.67</v>
      </c>
      <c r="E86" s="349" t="s">
        <v>559</v>
      </c>
      <c r="F86" s="161"/>
      <c r="G86" s="162">
        <f t="shared" si="2"/>
        <v>9.67</v>
      </c>
    </row>
    <row r="87" spans="1:7" ht="27" x14ac:dyDescent="0.35">
      <c r="A87" s="159">
        <v>81</v>
      </c>
      <c r="B87" s="37" t="s">
        <v>750</v>
      </c>
      <c r="C87" s="155" t="s">
        <v>46</v>
      </c>
      <c r="D87" s="349">
        <v>459.45</v>
      </c>
      <c r="E87" s="349" t="s">
        <v>943</v>
      </c>
      <c r="F87" s="161"/>
      <c r="G87" s="162">
        <f t="shared" si="2"/>
        <v>459.45</v>
      </c>
    </row>
    <row r="88" spans="1:7" x14ac:dyDescent="0.35">
      <c r="A88" s="159">
        <v>82</v>
      </c>
      <c r="B88" s="37" t="s">
        <v>579</v>
      </c>
      <c r="C88" s="155" t="s">
        <v>46</v>
      </c>
      <c r="D88" s="349">
        <v>1.77</v>
      </c>
      <c r="E88" s="349" t="s">
        <v>582</v>
      </c>
      <c r="F88" s="161"/>
      <c r="G88" s="162">
        <f t="shared" si="2"/>
        <v>1.77</v>
      </c>
    </row>
    <row r="89" spans="1:7" x14ac:dyDescent="0.35">
      <c r="A89" s="159">
        <v>83</v>
      </c>
      <c r="B89" s="37" t="s">
        <v>159</v>
      </c>
      <c r="C89" s="155" t="s">
        <v>72</v>
      </c>
      <c r="D89" s="349">
        <v>570</v>
      </c>
      <c r="E89" s="349" t="s">
        <v>160</v>
      </c>
      <c r="F89" s="161"/>
      <c r="G89" s="162">
        <f t="shared" si="2"/>
        <v>570</v>
      </c>
    </row>
    <row r="90" spans="1:7" x14ac:dyDescent="0.35">
      <c r="A90" s="159">
        <v>84</v>
      </c>
      <c r="B90" s="37" t="s">
        <v>438</v>
      </c>
      <c r="C90" s="155" t="s">
        <v>61</v>
      </c>
      <c r="D90" s="349">
        <v>1.42</v>
      </c>
      <c r="E90" s="349" t="s">
        <v>439</v>
      </c>
      <c r="F90" s="161"/>
      <c r="G90" s="162">
        <f t="shared" si="2"/>
        <v>1.42</v>
      </c>
    </row>
    <row r="91" spans="1:7" ht="54" x14ac:dyDescent="0.35">
      <c r="A91" s="159">
        <v>85</v>
      </c>
      <c r="B91" s="37" t="s">
        <v>557</v>
      </c>
      <c r="C91" s="155" t="s">
        <v>46</v>
      </c>
      <c r="D91" s="349">
        <v>120</v>
      </c>
      <c r="E91" s="349" t="s">
        <v>943</v>
      </c>
      <c r="F91" s="161"/>
      <c r="G91" s="162">
        <f t="shared" si="2"/>
        <v>120</v>
      </c>
    </row>
    <row r="92" spans="1:7" x14ac:dyDescent="0.35">
      <c r="A92" s="159">
        <v>86</v>
      </c>
      <c r="B92" s="37" t="s">
        <v>913</v>
      </c>
      <c r="C92" s="155" t="s">
        <v>46</v>
      </c>
      <c r="D92" s="349">
        <v>30.4</v>
      </c>
      <c r="E92" s="349" t="s">
        <v>943</v>
      </c>
      <c r="F92" s="161"/>
      <c r="G92" s="162">
        <f t="shared" si="2"/>
        <v>30.4</v>
      </c>
    </row>
    <row r="93" spans="1:7" x14ac:dyDescent="0.35">
      <c r="A93" s="159">
        <v>87</v>
      </c>
      <c r="B93" s="37" t="s">
        <v>948</v>
      </c>
      <c r="C93" s="155" t="s">
        <v>505</v>
      </c>
      <c r="D93" s="349">
        <v>3.8950000000000005</v>
      </c>
      <c r="E93" s="349" t="s">
        <v>943</v>
      </c>
      <c r="F93" s="161"/>
      <c r="G93" s="162">
        <f t="shared" si="2"/>
        <v>3.8950000000000005</v>
      </c>
    </row>
    <row r="94" spans="1:7" x14ac:dyDescent="0.35">
      <c r="A94" s="159">
        <v>88</v>
      </c>
      <c r="B94" s="37" t="s">
        <v>47</v>
      </c>
      <c r="C94" s="155" t="s">
        <v>66</v>
      </c>
      <c r="D94" s="349">
        <v>50</v>
      </c>
      <c r="E94" s="349" t="s">
        <v>73</v>
      </c>
      <c r="F94" s="161"/>
      <c r="G94" s="162">
        <f t="shared" si="2"/>
        <v>50</v>
      </c>
    </row>
    <row r="95" spans="1:7" x14ac:dyDescent="0.35">
      <c r="A95" s="159">
        <v>89</v>
      </c>
      <c r="B95" s="37" t="s">
        <v>76</v>
      </c>
      <c r="C95" s="155" t="s">
        <v>72</v>
      </c>
      <c r="D95" s="349">
        <v>20</v>
      </c>
      <c r="E95" s="349" t="s">
        <v>73</v>
      </c>
      <c r="F95" s="161"/>
      <c r="G95" s="162">
        <f t="shared" si="2"/>
        <v>20</v>
      </c>
    </row>
    <row r="96" spans="1:7" x14ac:dyDescent="0.35">
      <c r="A96" s="159">
        <v>90</v>
      </c>
      <c r="B96" s="37" t="s">
        <v>764</v>
      </c>
      <c r="C96" s="155" t="s">
        <v>46</v>
      </c>
      <c r="D96" s="349">
        <v>413.18</v>
      </c>
      <c r="E96" s="349" t="s">
        <v>943</v>
      </c>
      <c r="F96" s="161"/>
      <c r="G96" s="162">
        <f t="shared" si="2"/>
        <v>413.18</v>
      </c>
    </row>
    <row r="97" spans="1:7" x14ac:dyDescent="0.35">
      <c r="A97" s="159">
        <v>91</v>
      </c>
      <c r="B97" s="37" t="s">
        <v>765</v>
      </c>
      <c r="C97" s="155" t="s">
        <v>46</v>
      </c>
      <c r="D97" s="349">
        <v>1343.71</v>
      </c>
      <c r="E97" s="349" t="s">
        <v>943</v>
      </c>
      <c r="F97" s="161"/>
      <c r="G97" s="162">
        <f t="shared" si="2"/>
        <v>1343.71</v>
      </c>
    </row>
    <row r="98" spans="1:7" x14ac:dyDescent="0.35">
      <c r="A98" s="159">
        <v>92</v>
      </c>
      <c r="B98" s="37" t="s">
        <v>930</v>
      </c>
      <c r="C98" s="155" t="s">
        <v>46</v>
      </c>
      <c r="D98" s="349">
        <v>991.2</v>
      </c>
      <c r="E98" s="349" t="s">
        <v>943</v>
      </c>
      <c r="F98" s="161"/>
      <c r="G98" s="162">
        <f t="shared" si="2"/>
        <v>991.2</v>
      </c>
    </row>
    <row r="99" spans="1:7" x14ac:dyDescent="0.35">
      <c r="A99" s="159">
        <v>93</v>
      </c>
      <c r="B99" s="37" t="s">
        <v>924</v>
      </c>
      <c r="C99" s="155" t="s">
        <v>46</v>
      </c>
      <c r="D99" s="349">
        <v>949.2</v>
      </c>
      <c r="E99" s="349" t="s">
        <v>943</v>
      </c>
      <c r="F99" s="161"/>
      <c r="G99" s="162">
        <f t="shared" si="2"/>
        <v>949.2</v>
      </c>
    </row>
    <row r="100" spans="1:7" x14ac:dyDescent="0.35">
      <c r="A100" s="159">
        <v>94</v>
      </c>
      <c r="B100" s="37" t="s">
        <v>751</v>
      </c>
      <c r="C100" s="155" t="s">
        <v>46</v>
      </c>
      <c r="D100" s="349">
        <v>689.9</v>
      </c>
      <c r="E100" s="349" t="s">
        <v>943</v>
      </c>
      <c r="F100" s="161"/>
      <c r="G100" s="162">
        <f t="shared" si="2"/>
        <v>689.9</v>
      </c>
    </row>
    <row r="101" spans="1:7" ht="40.5" x14ac:dyDescent="0.35">
      <c r="A101" s="159">
        <v>95</v>
      </c>
      <c r="B101" s="37" t="s">
        <v>617</v>
      </c>
      <c r="C101" s="155" t="s">
        <v>46</v>
      </c>
      <c r="D101" s="349">
        <v>10.4</v>
      </c>
      <c r="E101" s="349" t="s">
        <v>619</v>
      </c>
      <c r="F101" s="161"/>
      <c r="G101" s="162">
        <f t="shared" si="2"/>
        <v>10.4</v>
      </c>
    </row>
    <row r="102" spans="1:7" ht="27" x14ac:dyDescent="0.35">
      <c r="A102" s="159">
        <v>96</v>
      </c>
      <c r="B102" s="37" t="s">
        <v>688</v>
      </c>
      <c r="C102" s="155" t="s">
        <v>46</v>
      </c>
      <c r="D102" s="349">
        <v>30.43</v>
      </c>
      <c r="E102" s="349" t="s">
        <v>691</v>
      </c>
      <c r="F102" s="161"/>
      <c r="G102" s="162">
        <f t="shared" si="2"/>
        <v>30.43</v>
      </c>
    </row>
    <row r="103" spans="1:7" x14ac:dyDescent="0.35">
      <c r="A103" s="159">
        <v>97</v>
      </c>
      <c r="B103" s="535" t="s">
        <v>479</v>
      </c>
      <c r="C103" s="155" t="s">
        <v>46</v>
      </c>
      <c r="D103" s="377">
        <v>25.31</v>
      </c>
      <c r="E103" s="377" t="s">
        <v>480</v>
      </c>
      <c r="F103" s="161"/>
      <c r="G103" s="162">
        <f t="shared" si="2"/>
        <v>25.31</v>
      </c>
    </row>
    <row r="104" spans="1:7" x14ac:dyDescent="0.35">
      <c r="A104" s="159">
        <v>98</v>
      </c>
      <c r="B104" s="37" t="s">
        <v>481</v>
      </c>
      <c r="C104" s="155" t="s">
        <v>46</v>
      </c>
      <c r="D104" s="349">
        <v>29.04</v>
      </c>
      <c r="E104" s="349" t="s">
        <v>482</v>
      </c>
      <c r="F104" s="161"/>
      <c r="G104" s="162">
        <f t="shared" ref="G104:G135" si="3">D104</f>
        <v>29.04</v>
      </c>
    </row>
    <row r="105" spans="1:7" x14ac:dyDescent="0.35">
      <c r="A105" s="159">
        <v>99</v>
      </c>
      <c r="B105" s="37" t="s">
        <v>944</v>
      </c>
      <c r="C105" s="155" t="s">
        <v>58</v>
      </c>
      <c r="D105" s="349">
        <v>16.940000000000001</v>
      </c>
      <c r="E105" s="349" t="s">
        <v>943</v>
      </c>
      <c r="F105" s="161"/>
      <c r="G105" s="162">
        <f t="shared" si="3"/>
        <v>16.940000000000001</v>
      </c>
    </row>
    <row r="106" spans="1:7" x14ac:dyDescent="0.35">
      <c r="A106" s="159">
        <v>100</v>
      </c>
      <c r="B106" s="37" t="s">
        <v>601</v>
      </c>
      <c r="C106" s="155" t="s">
        <v>58</v>
      </c>
      <c r="D106" s="349">
        <v>18.170000000000002</v>
      </c>
      <c r="E106" s="349" t="s">
        <v>606</v>
      </c>
      <c r="F106" s="161"/>
      <c r="G106" s="162">
        <f t="shared" si="3"/>
        <v>18.170000000000002</v>
      </c>
    </row>
    <row r="107" spans="1:7" ht="27" x14ac:dyDescent="0.35">
      <c r="A107" s="159">
        <v>101</v>
      </c>
      <c r="B107" s="37" t="s">
        <v>729</v>
      </c>
      <c r="C107" s="155" t="s">
        <v>61</v>
      </c>
      <c r="D107" s="349">
        <v>235.82</v>
      </c>
      <c r="E107" s="349" t="s">
        <v>943</v>
      </c>
      <c r="F107" s="161"/>
      <c r="G107" s="162">
        <f t="shared" si="3"/>
        <v>235.82</v>
      </c>
    </row>
    <row r="108" spans="1:7" x14ac:dyDescent="0.35">
      <c r="A108" s="159">
        <v>102</v>
      </c>
      <c r="B108" s="37" t="s">
        <v>102</v>
      </c>
      <c r="C108" s="155" t="s">
        <v>61</v>
      </c>
      <c r="D108" s="349">
        <v>225</v>
      </c>
      <c r="E108" s="349" t="s">
        <v>154</v>
      </c>
      <c r="F108" s="161"/>
      <c r="G108" s="162">
        <f t="shared" si="3"/>
        <v>225</v>
      </c>
    </row>
    <row r="109" spans="1:7" x14ac:dyDescent="0.35">
      <c r="A109" s="159">
        <v>103</v>
      </c>
      <c r="B109" s="37" t="s">
        <v>81</v>
      </c>
      <c r="C109" s="155" t="s">
        <v>46</v>
      </c>
      <c r="D109" s="349">
        <v>9.52</v>
      </c>
      <c r="E109" s="349" t="s">
        <v>164</v>
      </c>
      <c r="F109" s="161"/>
      <c r="G109" s="162">
        <f t="shared" si="3"/>
        <v>9.52</v>
      </c>
    </row>
    <row r="110" spans="1:7" x14ac:dyDescent="0.35">
      <c r="A110" s="159">
        <v>104</v>
      </c>
      <c r="B110" s="37" t="s">
        <v>77</v>
      </c>
      <c r="C110" s="155" t="s">
        <v>46</v>
      </c>
      <c r="D110" s="349">
        <v>18.420000000000002</v>
      </c>
      <c r="E110" s="349" t="s">
        <v>140</v>
      </c>
      <c r="F110" s="161"/>
      <c r="G110" s="162">
        <f t="shared" si="3"/>
        <v>18.420000000000002</v>
      </c>
    </row>
    <row r="111" spans="1:7" x14ac:dyDescent="0.35">
      <c r="A111" s="159">
        <v>105</v>
      </c>
      <c r="B111" s="37" t="s">
        <v>565</v>
      </c>
      <c r="C111" s="155" t="s">
        <v>46</v>
      </c>
      <c r="D111" s="349">
        <v>7.93</v>
      </c>
      <c r="E111" s="349" t="s">
        <v>943</v>
      </c>
      <c r="F111" s="161"/>
      <c r="G111" s="162">
        <f t="shared" si="3"/>
        <v>7.93</v>
      </c>
    </row>
    <row r="112" spans="1:7" ht="40.5" x14ac:dyDescent="0.35">
      <c r="A112" s="159">
        <v>106</v>
      </c>
      <c r="B112" s="37" t="s">
        <v>734</v>
      </c>
      <c r="C112" s="155" t="s">
        <v>46</v>
      </c>
      <c r="D112" s="349">
        <v>1290</v>
      </c>
      <c r="E112" s="349" t="s">
        <v>943</v>
      </c>
      <c r="F112" s="161"/>
      <c r="G112" s="162">
        <f t="shared" si="3"/>
        <v>1290</v>
      </c>
    </row>
    <row r="113" spans="1:7" ht="40.5" x14ac:dyDescent="0.35">
      <c r="A113" s="159">
        <v>107</v>
      </c>
      <c r="B113" s="37" t="s">
        <v>888</v>
      </c>
      <c r="C113" s="155" t="s">
        <v>46</v>
      </c>
      <c r="D113" s="349">
        <v>1390</v>
      </c>
      <c r="E113" s="349" t="s">
        <v>69</v>
      </c>
      <c r="F113" s="161"/>
      <c r="G113" s="162">
        <f t="shared" si="3"/>
        <v>1390</v>
      </c>
    </row>
    <row r="114" spans="1:7" ht="40.5" x14ac:dyDescent="0.35">
      <c r="A114" s="159">
        <v>108</v>
      </c>
      <c r="B114" s="37" t="s">
        <v>889</v>
      </c>
      <c r="C114" s="155" t="s">
        <v>46</v>
      </c>
      <c r="D114" s="349">
        <v>1359</v>
      </c>
      <c r="E114" s="349" t="s">
        <v>943</v>
      </c>
      <c r="F114" s="161"/>
      <c r="G114" s="162">
        <f t="shared" si="3"/>
        <v>1359</v>
      </c>
    </row>
    <row r="115" spans="1:7" ht="27" x14ac:dyDescent="0.35">
      <c r="A115" s="159">
        <v>109</v>
      </c>
      <c r="B115" s="37" t="s">
        <v>593</v>
      </c>
      <c r="C115" s="155" t="s">
        <v>46</v>
      </c>
      <c r="D115" s="349">
        <v>329.2</v>
      </c>
      <c r="E115" s="349" t="s">
        <v>943</v>
      </c>
      <c r="F115" s="161"/>
      <c r="G115" s="162">
        <f t="shared" si="3"/>
        <v>329.2</v>
      </c>
    </row>
    <row r="116" spans="1:7" x14ac:dyDescent="0.35">
      <c r="A116" s="159">
        <v>110</v>
      </c>
      <c r="B116" s="37" t="s">
        <v>604</v>
      </c>
      <c r="C116" s="155" t="s">
        <v>46</v>
      </c>
      <c r="D116" s="349">
        <v>0.19</v>
      </c>
      <c r="E116" s="349" t="s">
        <v>609</v>
      </c>
      <c r="F116" s="161"/>
      <c r="G116" s="162">
        <f t="shared" si="3"/>
        <v>0.19</v>
      </c>
    </row>
    <row r="117" spans="1:7" x14ac:dyDescent="0.35">
      <c r="A117" s="159">
        <v>111</v>
      </c>
      <c r="B117" s="37" t="s">
        <v>546</v>
      </c>
      <c r="C117" s="155" t="s">
        <v>553</v>
      </c>
      <c r="D117" s="349">
        <v>254.36</v>
      </c>
      <c r="E117" s="349" t="s">
        <v>548</v>
      </c>
      <c r="F117" s="161"/>
      <c r="G117" s="162">
        <f t="shared" si="3"/>
        <v>254.36</v>
      </c>
    </row>
    <row r="118" spans="1:7" ht="27" x14ac:dyDescent="0.35">
      <c r="A118" s="159">
        <v>112</v>
      </c>
      <c r="B118" s="37" t="s">
        <v>704</v>
      </c>
      <c r="C118" s="155" t="s">
        <v>46</v>
      </c>
      <c r="D118" s="349">
        <v>8.5299999999999994</v>
      </c>
      <c r="E118" s="349" t="s">
        <v>705</v>
      </c>
      <c r="F118" s="161"/>
      <c r="G118" s="162">
        <f t="shared" si="3"/>
        <v>8.5299999999999994</v>
      </c>
    </row>
    <row r="119" spans="1:7" ht="27" x14ac:dyDescent="0.35">
      <c r="A119" s="159">
        <v>113</v>
      </c>
      <c r="B119" s="37" t="s">
        <v>887</v>
      </c>
      <c r="C119" s="155" t="s">
        <v>46</v>
      </c>
      <c r="D119" s="349">
        <v>49.9</v>
      </c>
      <c r="E119" s="349" t="s">
        <v>943</v>
      </c>
      <c r="F119" s="161"/>
      <c r="G119" s="162">
        <f t="shared" si="3"/>
        <v>49.9</v>
      </c>
    </row>
    <row r="120" spans="1:7" ht="27" x14ac:dyDescent="0.35">
      <c r="A120" s="159">
        <v>114</v>
      </c>
      <c r="B120" s="37" t="s">
        <v>740</v>
      </c>
      <c r="C120" s="155" t="s">
        <v>46</v>
      </c>
      <c r="D120" s="349">
        <v>269</v>
      </c>
      <c r="E120" s="349" t="s">
        <v>943</v>
      </c>
      <c r="F120" s="161"/>
      <c r="G120" s="162">
        <f t="shared" si="3"/>
        <v>269</v>
      </c>
    </row>
    <row r="121" spans="1:7" ht="67.5" x14ac:dyDescent="0.35">
      <c r="A121" s="159">
        <v>115</v>
      </c>
      <c r="B121" s="37" t="s">
        <v>898</v>
      </c>
      <c r="C121" s="155" t="s">
        <v>46</v>
      </c>
      <c r="D121" s="349">
        <v>9439.5</v>
      </c>
      <c r="E121" s="349" t="s">
        <v>943</v>
      </c>
      <c r="F121" s="161"/>
      <c r="G121" s="162">
        <f t="shared" si="3"/>
        <v>9439.5</v>
      </c>
    </row>
    <row r="122" spans="1:7" ht="54" x14ac:dyDescent="0.35">
      <c r="A122" s="159">
        <v>116</v>
      </c>
      <c r="B122" s="37" t="s">
        <v>900</v>
      </c>
      <c r="C122" s="155" t="s">
        <v>46</v>
      </c>
      <c r="D122" s="349">
        <v>3139.5</v>
      </c>
      <c r="E122" s="349" t="s">
        <v>943</v>
      </c>
      <c r="F122" s="161"/>
      <c r="G122" s="162">
        <f t="shared" si="3"/>
        <v>3139.5</v>
      </c>
    </row>
    <row r="123" spans="1:7" ht="54" x14ac:dyDescent="0.35">
      <c r="A123" s="159">
        <v>117</v>
      </c>
      <c r="B123" s="37" t="s">
        <v>899</v>
      </c>
      <c r="C123" s="155" t="s">
        <v>46</v>
      </c>
      <c r="D123" s="349">
        <v>7969.5</v>
      </c>
      <c r="E123" s="349" t="s">
        <v>943</v>
      </c>
      <c r="F123" s="161"/>
      <c r="G123" s="162">
        <f t="shared" si="3"/>
        <v>7969.5</v>
      </c>
    </row>
    <row r="124" spans="1:7" ht="54" x14ac:dyDescent="0.35">
      <c r="A124" s="159">
        <v>118</v>
      </c>
      <c r="B124" s="37" t="s">
        <v>901</v>
      </c>
      <c r="C124" s="155" t="s">
        <v>46</v>
      </c>
      <c r="D124" s="349">
        <v>9019.5</v>
      </c>
      <c r="E124" s="349" t="s">
        <v>943</v>
      </c>
      <c r="F124" s="161"/>
      <c r="G124" s="162">
        <f t="shared" si="3"/>
        <v>9019.5</v>
      </c>
    </row>
    <row r="125" spans="1:7" ht="27" x14ac:dyDescent="0.35">
      <c r="A125" s="159">
        <v>119</v>
      </c>
      <c r="B125" s="37" t="s">
        <v>855</v>
      </c>
      <c r="C125" s="155" t="s">
        <v>46</v>
      </c>
      <c r="D125" s="349">
        <v>525</v>
      </c>
      <c r="E125" s="349" t="s">
        <v>943</v>
      </c>
      <c r="F125" s="161"/>
      <c r="G125" s="162">
        <f t="shared" si="3"/>
        <v>525</v>
      </c>
    </row>
    <row r="126" spans="1:7" ht="27" x14ac:dyDescent="0.35">
      <c r="A126" s="159">
        <v>120</v>
      </c>
      <c r="B126" s="37" t="s">
        <v>562</v>
      </c>
      <c r="C126" s="155" t="s">
        <v>46</v>
      </c>
      <c r="D126" s="349">
        <v>31.86</v>
      </c>
      <c r="E126" s="349" t="s">
        <v>563</v>
      </c>
      <c r="F126" s="161"/>
      <c r="G126" s="162">
        <f t="shared" si="3"/>
        <v>31.86</v>
      </c>
    </row>
    <row r="127" spans="1:7" x14ac:dyDescent="0.35">
      <c r="A127" s="159">
        <v>121</v>
      </c>
      <c r="B127" s="37" t="s">
        <v>706</v>
      </c>
      <c r="C127" s="155" t="s">
        <v>46</v>
      </c>
      <c r="D127" s="349">
        <v>7.57</v>
      </c>
      <c r="E127" s="349" t="s">
        <v>707</v>
      </c>
      <c r="F127" s="161"/>
      <c r="G127" s="162">
        <f t="shared" si="3"/>
        <v>7.57</v>
      </c>
    </row>
    <row r="128" spans="1:7" x14ac:dyDescent="0.35">
      <c r="A128" s="159">
        <v>122</v>
      </c>
      <c r="B128" s="37" t="s">
        <v>618</v>
      </c>
      <c r="C128" s="155" t="s">
        <v>505</v>
      </c>
      <c r="D128" s="349">
        <v>61.83</v>
      </c>
      <c r="E128" s="349" t="s">
        <v>620</v>
      </c>
      <c r="F128" s="161"/>
      <c r="G128" s="162">
        <f t="shared" si="3"/>
        <v>61.83</v>
      </c>
    </row>
    <row r="129" spans="1:7" x14ac:dyDescent="0.35">
      <c r="A129" s="159">
        <v>123</v>
      </c>
      <c r="B129" s="37" t="s">
        <v>918</v>
      </c>
      <c r="C129" s="155" t="s">
        <v>46</v>
      </c>
      <c r="D129" s="349">
        <v>222.5</v>
      </c>
      <c r="E129" s="349" t="s">
        <v>943</v>
      </c>
      <c r="F129" s="161"/>
      <c r="G129" s="162">
        <f t="shared" si="3"/>
        <v>222.5</v>
      </c>
    </row>
    <row r="130" spans="1:7" x14ac:dyDescent="0.35">
      <c r="A130" s="159">
        <v>124</v>
      </c>
      <c r="B130" s="37" t="s">
        <v>919</v>
      </c>
      <c r="C130" s="155" t="s">
        <v>46</v>
      </c>
      <c r="D130" s="349">
        <v>158.88</v>
      </c>
      <c r="E130" s="349" t="s">
        <v>943</v>
      </c>
      <c r="F130" s="161"/>
      <c r="G130" s="162">
        <f t="shared" si="3"/>
        <v>158.88</v>
      </c>
    </row>
    <row r="131" spans="1:7" x14ac:dyDescent="0.35">
      <c r="A131" s="159">
        <v>125</v>
      </c>
      <c r="B131" s="37" t="s">
        <v>850</v>
      </c>
      <c r="C131" s="155" t="s">
        <v>46</v>
      </c>
      <c r="D131" s="349">
        <v>291.39999999999998</v>
      </c>
      <c r="E131" s="349" t="s">
        <v>943</v>
      </c>
      <c r="F131" s="161"/>
      <c r="G131" s="162">
        <f t="shared" si="3"/>
        <v>291.39999999999998</v>
      </c>
    </row>
    <row r="132" spans="1:7" ht="27" x14ac:dyDescent="0.35">
      <c r="A132" s="159">
        <v>126</v>
      </c>
      <c r="B132" s="37" t="s">
        <v>727</v>
      </c>
      <c r="C132" s="155" t="s">
        <v>61</v>
      </c>
      <c r="D132" s="349">
        <v>42.15</v>
      </c>
      <c r="E132" s="349" t="s">
        <v>943</v>
      </c>
      <c r="F132" s="161"/>
      <c r="G132" s="162">
        <f t="shared" si="3"/>
        <v>42.15</v>
      </c>
    </row>
    <row r="133" spans="1:7" x14ac:dyDescent="0.35">
      <c r="A133" s="159">
        <v>127</v>
      </c>
      <c r="B133" s="37" t="s">
        <v>875</v>
      </c>
      <c r="C133" s="155" t="s">
        <v>58</v>
      </c>
      <c r="D133" s="349">
        <v>33.25</v>
      </c>
      <c r="E133" s="349" t="s">
        <v>943</v>
      </c>
      <c r="F133" s="161"/>
      <c r="G133" s="162">
        <f t="shared" si="3"/>
        <v>33.25</v>
      </c>
    </row>
    <row r="134" spans="1:7" x14ac:dyDescent="0.35">
      <c r="A134" s="159">
        <v>128</v>
      </c>
      <c r="B134" s="535" t="s">
        <v>110</v>
      </c>
      <c r="C134" s="155" t="s">
        <v>46</v>
      </c>
      <c r="D134" s="377">
        <f>(0.3/100)*(PO_CPE!S10)</f>
        <v>1148.8806299999999</v>
      </c>
      <c r="E134" s="377" t="s">
        <v>73</v>
      </c>
      <c r="F134" s="161"/>
      <c r="G134" s="162">
        <f t="shared" si="3"/>
        <v>1148.8806299999999</v>
      </c>
    </row>
    <row r="135" spans="1:7" x14ac:dyDescent="0.35">
      <c r="A135" s="159">
        <v>129</v>
      </c>
      <c r="B135" s="37" t="s">
        <v>931</v>
      </c>
      <c r="C135" s="155" t="s">
        <v>46</v>
      </c>
      <c r="D135" s="349">
        <v>206</v>
      </c>
      <c r="E135" s="349" t="s">
        <v>932</v>
      </c>
      <c r="F135" s="161"/>
      <c r="G135" s="162">
        <f t="shared" si="3"/>
        <v>206</v>
      </c>
    </row>
    <row r="136" spans="1:7" x14ac:dyDescent="0.35">
      <c r="A136" s="159">
        <v>130</v>
      </c>
      <c r="B136" s="37" t="s">
        <v>581</v>
      </c>
      <c r="C136" s="155" t="s">
        <v>46</v>
      </c>
      <c r="D136" s="349">
        <v>72.17</v>
      </c>
      <c r="E136" s="349" t="s">
        <v>584</v>
      </c>
      <c r="F136" s="161"/>
      <c r="G136" s="162">
        <f t="shared" ref="G136:G155" si="4">D136</f>
        <v>72.17</v>
      </c>
    </row>
    <row r="137" spans="1:7" x14ac:dyDescent="0.35">
      <c r="A137" s="159">
        <v>131</v>
      </c>
      <c r="B137" s="37" t="s">
        <v>560</v>
      </c>
      <c r="C137" s="155" t="s">
        <v>46</v>
      </c>
      <c r="D137" s="349">
        <v>3.14</v>
      </c>
      <c r="E137" s="349" t="s">
        <v>561</v>
      </c>
      <c r="F137" s="161"/>
      <c r="G137" s="162">
        <f t="shared" si="4"/>
        <v>3.14</v>
      </c>
    </row>
    <row r="138" spans="1:7" x14ac:dyDescent="0.35">
      <c r="A138" s="159">
        <v>132</v>
      </c>
      <c r="B138" s="37" t="s">
        <v>568</v>
      </c>
      <c r="C138" s="155" t="s">
        <v>46</v>
      </c>
      <c r="D138" s="349">
        <v>22.95</v>
      </c>
      <c r="E138" s="349" t="s">
        <v>943</v>
      </c>
      <c r="F138" s="161"/>
      <c r="G138" s="162">
        <f t="shared" si="4"/>
        <v>22.95</v>
      </c>
    </row>
    <row r="139" spans="1:7" x14ac:dyDescent="0.35">
      <c r="A139" s="159">
        <v>133</v>
      </c>
      <c r="B139" s="37" t="s">
        <v>910</v>
      </c>
      <c r="C139" s="155" t="s">
        <v>46</v>
      </c>
      <c r="D139" s="349">
        <v>32.1</v>
      </c>
      <c r="E139" s="349" t="s">
        <v>943</v>
      </c>
      <c r="F139" s="161"/>
      <c r="G139" s="162">
        <f t="shared" si="4"/>
        <v>32.1</v>
      </c>
    </row>
    <row r="140" spans="1:7" ht="27" x14ac:dyDescent="0.35">
      <c r="A140" s="159">
        <v>134</v>
      </c>
      <c r="B140" s="37" t="s">
        <v>574</v>
      </c>
      <c r="C140" s="155" t="s">
        <v>46</v>
      </c>
      <c r="D140" s="349">
        <v>32.1</v>
      </c>
      <c r="E140" s="349" t="s">
        <v>943</v>
      </c>
      <c r="F140" s="161"/>
      <c r="G140" s="162">
        <f t="shared" si="4"/>
        <v>32.1</v>
      </c>
    </row>
    <row r="141" spans="1:7" x14ac:dyDescent="0.35">
      <c r="A141" s="159">
        <v>135</v>
      </c>
      <c r="B141" s="37" t="s">
        <v>824</v>
      </c>
      <c r="C141" s="155" t="s">
        <v>46</v>
      </c>
      <c r="D141" s="349">
        <v>97.03</v>
      </c>
      <c r="E141" s="349" t="s">
        <v>943</v>
      </c>
      <c r="F141" s="161"/>
      <c r="G141" s="162">
        <f t="shared" si="4"/>
        <v>97.03</v>
      </c>
    </row>
    <row r="142" spans="1:7" x14ac:dyDescent="0.35">
      <c r="A142" s="159">
        <v>136</v>
      </c>
      <c r="B142" s="37" t="s">
        <v>573</v>
      </c>
      <c r="C142" s="155" t="s">
        <v>58</v>
      </c>
      <c r="D142" s="349">
        <v>35.93</v>
      </c>
      <c r="E142" s="349" t="s">
        <v>943</v>
      </c>
      <c r="F142" s="161"/>
      <c r="G142" s="162">
        <f t="shared" si="4"/>
        <v>35.93</v>
      </c>
    </row>
    <row r="143" spans="1:7" x14ac:dyDescent="0.35">
      <c r="A143" s="159">
        <v>137</v>
      </c>
      <c r="B143" s="37" t="s">
        <v>925</v>
      </c>
      <c r="C143" s="155" t="s">
        <v>46</v>
      </c>
      <c r="D143" s="349">
        <v>1980</v>
      </c>
      <c r="E143" s="349" t="s">
        <v>943</v>
      </c>
      <c r="F143" s="161"/>
      <c r="G143" s="162">
        <f t="shared" si="4"/>
        <v>1980</v>
      </c>
    </row>
    <row r="144" spans="1:7" ht="27" x14ac:dyDescent="0.35">
      <c r="A144" s="159">
        <v>138</v>
      </c>
      <c r="B144" s="37" t="s">
        <v>708</v>
      </c>
      <c r="C144" s="155" t="s">
        <v>46</v>
      </c>
      <c r="D144" s="349">
        <v>16.77</v>
      </c>
      <c r="E144" s="349" t="s">
        <v>709</v>
      </c>
      <c r="F144" s="161"/>
      <c r="G144" s="162">
        <f t="shared" si="4"/>
        <v>16.77</v>
      </c>
    </row>
    <row r="145" spans="1:7" x14ac:dyDescent="0.35">
      <c r="A145" s="159">
        <v>139</v>
      </c>
      <c r="B145" s="37" t="s">
        <v>549</v>
      </c>
      <c r="C145" s="155" t="s">
        <v>59</v>
      </c>
      <c r="D145" s="349">
        <v>56.67</v>
      </c>
      <c r="E145" s="349" t="s">
        <v>552</v>
      </c>
      <c r="F145" s="161"/>
      <c r="G145" s="162">
        <f t="shared" si="4"/>
        <v>56.67</v>
      </c>
    </row>
    <row r="146" spans="1:7" x14ac:dyDescent="0.35">
      <c r="A146" s="159">
        <v>140</v>
      </c>
      <c r="B146" s="37" t="s">
        <v>566</v>
      </c>
      <c r="C146" s="155" t="s">
        <v>46</v>
      </c>
      <c r="D146" s="349">
        <v>6.09</v>
      </c>
      <c r="E146" s="349" t="s">
        <v>943</v>
      </c>
      <c r="F146" s="161"/>
      <c r="G146" s="162">
        <f t="shared" si="4"/>
        <v>6.09</v>
      </c>
    </row>
    <row r="147" spans="1:7" x14ac:dyDescent="0.35">
      <c r="A147" s="159">
        <v>141</v>
      </c>
      <c r="B147" s="37" t="s">
        <v>431</v>
      </c>
      <c r="C147" s="155" t="s">
        <v>46</v>
      </c>
      <c r="D147" s="349">
        <v>72.650000000000006</v>
      </c>
      <c r="E147" s="349" t="s">
        <v>943</v>
      </c>
      <c r="F147" s="161"/>
      <c r="G147" s="162">
        <f t="shared" si="4"/>
        <v>72.650000000000006</v>
      </c>
    </row>
    <row r="148" spans="1:7" x14ac:dyDescent="0.35">
      <c r="A148" s="159">
        <v>142</v>
      </c>
      <c r="B148" s="37" t="s">
        <v>569</v>
      </c>
      <c r="C148" s="155" t="s">
        <v>46</v>
      </c>
      <c r="D148" s="349">
        <v>10.07</v>
      </c>
      <c r="E148" s="349" t="s">
        <v>943</v>
      </c>
      <c r="F148" s="161"/>
      <c r="G148" s="162">
        <f t="shared" si="4"/>
        <v>10.07</v>
      </c>
    </row>
    <row r="149" spans="1:7" x14ac:dyDescent="0.35">
      <c r="A149" s="159">
        <v>143</v>
      </c>
      <c r="B149" s="37" t="s">
        <v>906</v>
      </c>
      <c r="C149" s="155" t="s">
        <v>46</v>
      </c>
      <c r="D149" s="349">
        <v>10.07</v>
      </c>
      <c r="E149" s="349" t="s">
        <v>943</v>
      </c>
      <c r="F149" s="161"/>
      <c r="G149" s="162">
        <f t="shared" si="4"/>
        <v>10.07</v>
      </c>
    </row>
    <row r="150" spans="1:7" x14ac:dyDescent="0.35">
      <c r="A150" s="159">
        <v>144</v>
      </c>
      <c r="B150" s="37" t="s">
        <v>576</v>
      </c>
      <c r="C150" s="155" t="s">
        <v>46</v>
      </c>
      <c r="D150" s="349">
        <v>29.9</v>
      </c>
      <c r="E150" s="349" t="s">
        <v>943</v>
      </c>
      <c r="F150" s="161"/>
      <c r="G150" s="162">
        <f t="shared" si="4"/>
        <v>29.9</v>
      </c>
    </row>
    <row r="151" spans="1:7" x14ac:dyDescent="0.35">
      <c r="A151" s="159">
        <v>145</v>
      </c>
      <c r="B151" s="37" t="s">
        <v>613</v>
      </c>
      <c r="C151" s="155" t="s">
        <v>46</v>
      </c>
      <c r="D151" s="349">
        <v>51.5</v>
      </c>
      <c r="E151" s="349" t="s">
        <v>612</v>
      </c>
      <c r="F151" s="161"/>
      <c r="G151" s="162">
        <f t="shared" si="4"/>
        <v>51.5</v>
      </c>
    </row>
    <row r="152" spans="1:7" x14ac:dyDescent="0.35">
      <c r="A152" s="159">
        <v>146</v>
      </c>
      <c r="B152" s="37" t="s">
        <v>934</v>
      </c>
      <c r="C152" s="155" t="s">
        <v>46</v>
      </c>
      <c r="D152" s="349">
        <v>70.349999999999994</v>
      </c>
      <c r="E152" s="349" t="s">
        <v>933</v>
      </c>
      <c r="F152" s="161"/>
      <c r="G152" s="162">
        <f t="shared" si="4"/>
        <v>70.349999999999994</v>
      </c>
    </row>
    <row r="153" spans="1:7" ht="40.5" x14ac:dyDescent="0.35">
      <c r="A153" s="159">
        <v>147</v>
      </c>
      <c r="B153" s="37" t="s">
        <v>854</v>
      </c>
      <c r="C153" s="155" t="s">
        <v>46</v>
      </c>
      <c r="D153" s="349">
        <v>4567.5</v>
      </c>
      <c r="E153" s="349" t="s">
        <v>943</v>
      </c>
      <c r="F153" s="161"/>
      <c r="G153" s="162">
        <f t="shared" si="4"/>
        <v>4567.5</v>
      </c>
    </row>
    <row r="154" spans="1:7" x14ac:dyDescent="0.35">
      <c r="A154" s="159">
        <v>148</v>
      </c>
      <c r="B154" s="37" t="s">
        <v>603</v>
      </c>
      <c r="C154" s="155" t="s">
        <v>58</v>
      </c>
      <c r="D154" s="349">
        <v>4.0599999999999996</v>
      </c>
      <c r="E154" s="349" t="s">
        <v>608</v>
      </c>
      <c r="F154" s="161"/>
      <c r="G154" s="162">
        <f t="shared" si="4"/>
        <v>4.0599999999999996</v>
      </c>
    </row>
    <row r="155" spans="1:7" x14ac:dyDescent="0.35">
      <c r="A155" s="531">
        <v>149</v>
      </c>
      <c r="B155" s="536" t="s">
        <v>744</v>
      </c>
      <c r="C155" s="532" t="s">
        <v>61</v>
      </c>
      <c r="D155" s="511">
        <v>160.24</v>
      </c>
      <c r="E155" s="511" t="s">
        <v>745</v>
      </c>
      <c r="F155" s="533"/>
      <c r="G155" s="534">
        <f t="shared" si="4"/>
        <v>160.24</v>
      </c>
    </row>
  </sheetData>
  <autoFilter ref="A7:I155">
    <sortState ref="A8:I156">
      <sortCondition ref="B7:B156"/>
    </sortState>
  </autoFilter>
  <sortState ref="A8:G567">
    <sortCondition ref="B8:B567"/>
  </sortState>
  <mergeCells count="1">
    <mergeCell ref="A6:G6"/>
  </mergeCells>
  <phoneticPr fontId="29" type="noConversion"/>
  <printOptions horizontalCentered="1"/>
  <pageMargins left="0.39370078740157483" right="0.19685039370078741" top="0.19685039370078741" bottom="0.59055118110236227" header="0" footer="0.19685039370078741"/>
  <pageSetup paperSize="9" scale="81" fitToHeight="0" orientation="portrait" r:id="rId1"/>
  <headerFooter>
    <oddFooter>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2060"/>
    <pageSetUpPr fitToPage="1"/>
  </sheetPr>
  <dimension ref="A1:K24"/>
  <sheetViews>
    <sheetView showGridLines="0" view="pageBreakPreview" zoomScale="85" zoomScaleSheetLayoutView="85" workbookViewId="0">
      <pane xSplit="1" ySplit="6" topLeftCell="B7" activePane="bottomRight" state="frozen"/>
      <selection activeCell="B7" sqref="B7:G7"/>
      <selection pane="topRight" activeCell="B7" sqref="B7:G7"/>
      <selection pane="bottomLeft" activeCell="B7" sqref="B7:G7"/>
      <selection pane="bottomRight" activeCell="A6" sqref="A6:H6"/>
    </sheetView>
  </sheetViews>
  <sheetFormatPr defaultColWidth="9.140625" defaultRowHeight="16.5" x14ac:dyDescent="0.35"/>
  <cols>
    <col min="1" max="1" width="7.28515625" style="105" customWidth="1"/>
    <col min="2" max="2" width="40.140625" style="6" customWidth="1"/>
    <col min="3" max="3" width="6.28515625" style="6" customWidth="1"/>
    <col min="4" max="4" width="9.140625" style="79" hidden="1" customWidth="1"/>
    <col min="5" max="5" width="9" style="79" hidden="1" customWidth="1"/>
    <col min="6" max="6" width="12.7109375" style="6" customWidth="1"/>
    <col min="7" max="7" width="8.85546875" style="6" customWidth="1"/>
    <col min="8" max="8" width="20.7109375" style="6" customWidth="1"/>
    <col min="9" max="9" width="19.7109375" style="6" customWidth="1"/>
    <col min="10" max="10" width="20.7109375" style="6" bestFit="1" customWidth="1"/>
    <col min="11" max="16384" width="9.140625" style="6"/>
  </cols>
  <sheetData>
    <row r="1" spans="1:11" s="5" customFormat="1" x14ac:dyDescent="0.35">
      <c r="A1" s="266" t="s">
        <v>4</v>
      </c>
      <c r="B1" s="267" t="str">
        <f>PO_IND!D3</f>
        <v>HCPA - CPE - Projeto Laboratórios de Pesquisa</v>
      </c>
      <c r="C1" s="254"/>
      <c r="D1" s="268"/>
      <c r="E1" s="269"/>
      <c r="F1" s="256"/>
      <c r="G1" s="256"/>
      <c r="H1" s="257"/>
      <c r="I1" s="115">
        <f>'Dados Gerais'!$E$17</f>
        <v>520600.05000000005</v>
      </c>
    </row>
    <row r="2" spans="1:11" s="5" customFormat="1" x14ac:dyDescent="0.35">
      <c r="A2" s="210" t="s">
        <v>99</v>
      </c>
      <c r="B2" s="113" t="str">
        <f>PO_IND!D4</f>
        <v>CPE - 2º Pavimento</v>
      </c>
      <c r="C2" s="19"/>
      <c r="D2" s="114"/>
      <c r="E2" s="130"/>
      <c r="F2" s="108"/>
      <c r="G2" s="108"/>
      <c r="H2" s="109"/>
    </row>
    <row r="3" spans="1:11" s="5" customFormat="1" x14ac:dyDescent="0.35">
      <c r="A3" s="210" t="s">
        <v>6</v>
      </c>
      <c r="B3" s="113" t="str">
        <f>PO_IND!D5</f>
        <v>Porto Alegre / RS</v>
      </c>
      <c r="C3" s="19"/>
      <c r="D3" s="114"/>
      <c r="E3" s="130"/>
      <c r="F3" s="108"/>
      <c r="G3" s="108"/>
      <c r="H3" s="109"/>
    </row>
    <row r="4" spans="1:11" s="5" customFormat="1" x14ac:dyDescent="0.35">
      <c r="A4" s="334"/>
      <c r="B4" s="270"/>
      <c r="C4" s="259"/>
      <c r="D4" s="271"/>
      <c r="E4" s="272"/>
      <c r="F4" s="108"/>
      <c r="G4" s="129"/>
      <c r="H4" s="208"/>
    </row>
    <row r="5" spans="1:11" s="5" customFormat="1" x14ac:dyDescent="0.35">
      <c r="A5" s="273"/>
      <c r="B5" s="274" t="str">
        <f>PO_IND!D6</f>
        <v>-</v>
      </c>
      <c r="C5" s="275"/>
      <c r="D5" s="276"/>
      <c r="E5" s="277"/>
      <c r="F5" s="278"/>
      <c r="G5" s="279"/>
      <c r="H5" s="348"/>
      <c r="J5" s="115"/>
    </row>
    <row r="6" spans="1:11" ht="17.25" x14ac:dyDescent="0.35">
      <c r="A6" s="679" t="s">
        <v>26</v>
      </c>
      <c r="B6" s="680"/>
      <c r="C6" s="680"/>
      <c r="D6" s="680"/>
      <c r="E6" s="680"/>
      <c r="F6" s="680"/>
      <c r="G6" s="680"/>
      <c r="H6" s="681"/>
    </row>
    <row r="7" spans="1:11" ht="27" customHeight="1" x14ac:dyDescent="0.35">
      <c r="A7" s="157" t="s">
        <v>0</v>
      </c>
      <c r="B7" s="263" t="s">
        <v>15</v>
      </c>
      <c r="C7" s="264" t="s">
        <v>16</v>
      </c>
      <c r="D7" s="280" t="s">
        <v>43</v>
      </c>
      <c r="E7" s="281" t="s">
        <v>65</v>
      </c>
      <c r="F7" s="282" t="s">
        <v>27</v>
      </c>
      <c r="G7" s="282" t="s">
        <v>23</v>
      </c>
      <c r="H7" s="209" t="s">
        <v>44</v>
      </c>
      <c r="J7" s="117"/>
    </row>
    <row r="8" spans="1:11" ht="27.75" x14ac:dyDescent="0.35">
      <c r="A8" s="163">
        <v>1</v>
      </c>
      <c r="B8" s="153" t="s">
        <v>589</v>
      </c>
      <c r="C8" s="160" t="s">
        <v>42</v>
      </c>
      <c r="D8" s="349"/>
      <c r="E8" s="349"/>
      <c r="F8" s="376">
        <v>20.83</v>
      </c>
      <c r="G8" s="164">
        <v>44256</v>
      </c>
      <c r="H8" s="350" t="s">
        <v>590</v>
      </c>
      <c r="I8" s="13"/>
      <c r="J8" s="13"/>
      <c r="K8" s="73"/>
    </row>
    <row r="9" spans="1:11" ht="27.75" x14ac:dyDescent="0.35">
      <c r="A9" s="163">
        <v>2</v>
      </c>
      <c r="B9" s="153" t="s">
        <v>449</v>
      </c>
      <c r="C9" s="160" t="s">
        <v>42</v>
      </c>
      <c r="D9" s="349"/>
      <c r="E9" s="349"/>
      <c r="F9" s="376">
        <v>17.170000000000002</v>
      </c>
      <c r="G9" s="164">
        <v>44256</v>
      </c>
      <c r="H9" s="350" t="s">
        <v>450</v>
      </c>
      <c r="I9" s="13"/>
      <c r="J9" s="13"/>
      <c r="K9" s="73"/>
    </row>
    <row r="10" spans="1:11" ht="27.75" x14ac:dyDescent="0.35">
      <c r="A10" s="163">
        <v>3</v>
      </c>
      <c r="B10" s="153" t="s">
        <v>577</v>
      </c>
      <c r="C10" s="160" t="s">
        <v>42</v>
      </c>
      <c r="D10" s="349"/>
      <c r="E10" s="349"/>
      <c r="F10" s="376">
        <v>15.58</v>
      </c>
      <c r="G10" s="164">
        <v>44256</v>
      </c>
      <c r="H10" s="350" t="s">
        <v>578</v>
      </c>
      <c r="I10" s="13"/>
      <c r="J10" s="13"/>
      <c r="K10" s="73"/>
    </row>
    <row r="11" spans="1:11" ht="27.75" x14ac:dyDescent="0.35">
      <c r="A11" s="163">
        <v>4</v>
      </c>
      <c r="B11" s="153" t="s">
        <v>384</v>
      </c>
      <c r="C11" s="160" t="s">
        <v>42</v>
      </c>
      <c r="D11" s="349"/>
      <c r="E11" s="349"/>
      <c r="F11" s="376">
        <v>27.01</v>
      </c>
      <c r="G11" s="164">
        <v>44256</v>
      </c>
      <c r="H11" s="350" t="s">
        <v>385</v>
      </c>
      <c r="I11" s="13"/>
      <c r="J11" s="13"/>
      <c r="K11" s="73"/>
    </row>
    <row r="12" spans="1:11" ht="27.75" x14ac:dyDescent="0.35">
      <c r="A12" s="163">
        <v>5</v>
      </c>
      <c r="B12" s="153" t="s">
        <v>543</v>
      </c>
      <c r="C12" s="160" t="s">
        <v>42</v>
      </c>
      <c r="D12" s="349"/>
      <c r="E12" s="349"/>
      <c r="F12" s="376">
        <v>20.63</v>
      </c>
      <c r="G12" s="164">
        <v>44256</v>
      </c>
      <c r="H12" s="350" t="s">
        <v>544</v>
      </c>
      <c r="I12" s="13"/>
      <c r="J12" s="13"/>
      <c r="K12" s="73"/>
    </row>
    <row r="13" spans="1:11" ht="27.75" x14ac:dyDescent="0.35">
      <c r="A13" s="163">
        <v>6</v>
      </c>
      <c r="B13" s="153" t="s">
        <v>735</v>
      </c>
      <c r="C13" s="160" t="s">
        <v>42</v>
      </c>
      <c r="D13" s="349"/>
      <c r="E13" s="349"/>
      <c r="F13" s="376">
        <v>18.23</v>
      </c>
      <c r="G13" s="164">
        <v>44256</v>
      </c>
      <c r="H13" s="350" t="s">
        <v>736</v>
      </c>
      <c r="I13" s="13"/>
      <c r="J13" s="13"/>
      <c r="K13" s="73"/>
    </row>
    <row r="14" spans="1:11" ht="27.75" x14ac:dyDescent="0.35">
      <c r="A14" s="163">
        <v>7</v>
      </c>
      <c r="B14" s="153" t="s">
        <v>157</v>
      </c>
      <c r="C14" s="160" t="s">
        <v>42</v>
      </c>
      <c r="D14" s="349"/>
      <c r="E14" s="349"/>
      <c r="F14" s="376">
        <v>20.5</v>
      </c>
      <c r="G14" s="164">
        <v>44256</v>
      </c>
      <c r="H14" s="350" t="s">
        <v>158</v>
      </c>
      <c r="I14" s="13"/>
      <c r="J14" s="13"/>
      <c r="K14" s="73"/>
    </row>
    <row r="15" spans="1:11" ht="27.75" x14ac:dyDescent="0.35">
      <c r="A15" s="163">
        <v>8</v>
      </c>
      <c r="B15" s="153" t="s">
        <v>380</v>
      </c>
      <c r="C15" s="160" t="s">
        <v>42</v>
      </c>
      <c r="D15" s="349"/>
      <c r="E15" s="349"/>
      <c r="F15" s="376">
        <v>22.61</v>
      </c>
      <c r="G15" s="164">
        <v>44256</v>
      </c>
      <c r="H15" s="350" t="s">
        <v>165</v>
      </c>
      <c r="I15" s="13"/>
      <c r="J15" s="13"/>
      <c r="K15" s="73"/>
    </row>
    <row r="16" spans="1:11" ht="27.75" x14ac:dyDescent="0.35">
      <c r="A16" s="163">
        <v>9</v>
      </c>
      <c r="B16" s="153" t="s">
        <v>150</v>
      </c>
      <c r="C16" s="160" t="s">
        <v>42</v>
      </c>
      <c r="D16" s="349"/>
      <c r="E16" s="349"/>
      <c r="F16" s="376">
        <v>20.39</v>
      </c>
      <c r="G16" s="164">
        <v>44256</v>
      </c>
      <c r="H16" s="350" t="s">
        <v>151</v>
      </c>
      <c r="I16" s="13"/>
      <c r="J16" s="13"/>
      <c r="K16" s="73"/>
    </row>
    <row r="17" spans="1:11" ht="27.75" x14ac:dyDescent="0.35">
      <c r="A17" s="163">
        <v>10</v>
      </c>
      <c r="B17" s="153" t="s">
        <v>591</v>
      </c>
      <c r="C17" s="160" t="s">
        <v>42</v>
      </c>
      <c r="D17" s="349"/>
      <c r="E17" s="349"/>
      <c r="F17" s="376">
        <v>107.37</v>
      </c>
      <c r="G17" s="164">
        <v>44256</v>
      </c>
      <c r="H17" s="350" t="s">
        <v>592</v>
      </c>
      <c r="I17" s="13"/>
      <c r="J17" s="13"/>
      <c r="K17" s="73"/>
    </row>
    <row r="18" spans="1:11" ht="27.75" x14ac:dyDescent="0.35">
      <c r="A18" s="163">
        <v>11</v>
      </c>
      <c r="B18" s="153" t="s">
        <v>587</v>
      </c>
      <c r="C18" s="160" t="s">
        <v>42</v>
      </c>
      <c r="D18" s="349"/>
      <c r="E18" s="349"/>
      <c r="F18" s="376">
        <v>23.09</v>
      </c>
      <c r="G18" s="164">
        <v>44256</v>
      </c>
      <c r="H18" s="350" t="s">
        <v>588</v>
      </c>
      <c r="I18" s="13"/>
      <c r="J18" s="13"/>
      <c r="K18" s="73"/>
    </row>
    <row r="19" spans="1:11" x14ac:dyDescent="0.35">
      <c r="A19" s="163">
        <v>12</v>
      </c>
      <c r="B19" s="153" t="s">
        <v>155</v>
      </c>
      <c r="C19" s="160" t="s">
        <v>42</v>
      </c>
      <c r="D19" s="349"/>
      <c r="E19" s="349"/>
      <c r="F19" s="376">
        <v>20.71</v>
      </c>
      <c r="G19" s="164">
        <v>44256</v>
      </c>
      <c r="H19" s="350" t="s">
        <v>156</v>
      </c>
      <c r="I19" s="13"/>
      <c r="J19" s="13"/>
      <c r="K19" s="73"/>
    </row>
    <row r="20" spans="1:11" ht="27.75" x14ac:dyDescent="0.35">
      <c r="A20" s="163">
        <v>13</v>
      </c>
      <c r="B20" s="153" t="s">
        <v>550</v>
      </c>
      <c r="C20" s="160" t="s">
        <v>42</v>
      </c>
      <c r="D20" s="349"/>
      <c r="E20" s="349"/>
      <c r="F20" s="376">
        <v>22.93</v>
      </c>
      <c r="G20" s="164">
        <v>44256</v>
      </c>
      <c r="H20" s="350" t="s">
        <v>551</v>
      </c>
      <c r="I20" s="13"/>
      <c r="J20" s="13"/>
      <c r="K20" s="73"/>
    </row>
    <row r="21" spans="1:11" x14ac:dyDescent="0.35">
      <c r="A21" s="163">
        <v>14</v>
      </c>
      <c r="B21" s="558" t="s">
        <v>116</v>
      </c>
      <c r="C21" s="547" t="s">
        <v>42</v>
      </c>
      <c r="D21" s="548"/>
      <c r="E21" s="548"/>
      <c r="F21" s="549">
        <v>17.11</v>
      </c>
      <c r="G21" s="164">
        <v>44256</v>
      </c>
      <c r="H21" s="550" t="s">
        <v>117</v>
      </c>
      <c r="I21" s="13"/>
      <c r="J21" s="13"/>
      <c r="K21" s="73"/>
    </row>
    <row r="22" spans="1:11" x14ac:dyDescent="0.35">
      <c r="A22" s="509">
        <v>15</v>
      </c>
      <c r="B22" s="537" t="s">
        <v>742</v>
      </c>
      <c r="C22" s="510" t="s">
        <v>42</v>
      </c>
      <c r="D22" s="511"/>
      <c r="E22" s="511"/>
      <c r="F22" s="512">
        <v>19.850000000000001</v>
      </c>
      <c r="G22" s="513">
        <v>44256</v>
      </c>
      <c r="H22" s="514" t="s">
        <v>743</v>
      </c>
      <c r="I22" s="13"/>
      <c r="J22" s="13"/>
      <c r="K22" s="73"/>
    </row>
    <row r="23" spans="1:11" x14ac:dyDescent="0.35">
      <c r="K23" s="73"/>
    </row>
    <row r="24" spans="1:11" x14ac:dyDescent="0.35">
      <c r="K24" s="73"/>
    </row>
  </sheetData>
  <autoFilter ref="A7:J22">
    <sortState ref="A8:J22">
      <sortCondition ref="B7:B22"/>
    </sortState>
  </autoFilter>
  <sortState ref="A9:H51">
    <sortCondition ref="B9:B51"/>
  </sortState>
  <mergeCells count="1">
    <mergeCell ref="A6:H6"/>
  </mergeCells>
  <phoneticPr fontId="29" type="noConversion"/>
  <printOptions horizontalCentered="1"/>
  <pageMargins left="0.19685039370078741" right="0.19685039370078741" top="0.19685039370078741" bottom="0.59055118110236227" header="0" footer="0.31496062992125984"/>
  <pageSetup paperSize="9" fitToHeight="0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17</vt:i4>
      </vt:variant>
    </vt:vector>
  </HeadingPairs>
  <TitlesOfParts>
    <vt:vector size="27" baseType="lpstr">
      <vt:lpstr>Dados Gerais</vt:lpstr>
      <vt:lpstr>Resumo</vt:lpstr>
      <vt:lpstr>BDI</vt:lpstr>
      <vt:lpstr>ENCARGOS</vt:lpstr>
      <vt:lpstr>PO_IND</vt:lpstr>
      <vt:lpstr>PO_CPE</vt:lpstr>
      <vt:lpstr>Comp</vt:lpstr>
      <vt:lpstr>Insumos_MAT</vt:lpstr>
      <vt:lpstr>Insumos_MO</vt:lpstr>
      <vt:lpstr>ABC</vt:lpstr>
      <vt:lpstr>ABC!Area_de_impressao</vt:lpstr>
      <vt:lpstr>BDI!Area_de_impressao</vt:lpstr>
      <vt:lpstr>Comp!Area_de_impressao</vt:lpstr>
      <vt:lpstr>'Dados Gerais'!Area_de_impressao</vt:lpstr>
      <vt:lpstr>ENCARGOS!Area_de_impressao</vt:lpstr>
      <vt:lpstr>Insumos_MAT!Area_de_impressao</vt:lpstr>
      <vt:lpstr>Insumos_MO!Area_de_impressao</vt:lpstr>
      <vt:lpstr>PO_CPE!Area_de_impressao</vt:lpstr>
      <vt:lpstr>PO_IND!Area_de_impressao</vt:lpstr>
      <vt:lpstr>Resumo!Area_de_impressao</vt:lpstr>
      <vt:lpstr>ABC!Titulos_de_impressao</vt:lpstr>
      <vt:lpstr>Comp!Titulos_de_impressao</vt:lpstr>
      <vt:lpstr>Insumos_MAT!Titulos_de_impressao</vt:lpstr>
      <vt:lpstr>Insumos_MO!Titulos_de_impressao</vt:lpstr>
      <vt:lpstr>PO_CPE!Titulos_de_impressao</vt:lpstr>
      <vt:lpstr>PO_IND!Titulos_de_impressao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TECHNIQUE</dc:creator>
  <cp:lastModifiedBy>Paula Juliana Silva Da Silva</cp:lastModifiedBy>
  <cp:lastPrinted>2021-08-13T19:09:33Z</cp:lastPrinted>
  <dcterms:created xsi:type="dcterms:W3CDTF">2011-06-13T17:38:30Z</dcterms:created>
  <dcterms:modified xsi:type="dcterms:W3CDTF">2021-09-01T16:50:27Z</dcterms:modified>
</cp:coreProperties>
</file>